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ngenioussolutions-my.sharepoint.com/personal/rsabat_ngenioussolutions_com/Documents/Raghunath Sabat/NGenious/Assets/ERP/"/>
    </mc:Choice>
  </mc:AlternateContent>
  <xr:revisionPtr revIDLastSave="13" documentId="13_ncr:1_{034944A1-0DD8-4D2C-9B80-72C4033D978D}" xr6:coauthVersionLast="47" xr6:coauthVersionMax="47" xr10:uidLastSave="{F0255DF7-196F-46AD-B00D-660BD41FF9AE}"/>
  <bookViews>
    <workbookView xWindow="-120" yWindow="-120" windowWidth="20730" windowHeight="11040" xr2:uid="{00000000-000D-0000-FFFF-FFFF00000000}"/>
  </bookViews>
  <sheets>
    <sheet name="Start Here" sheetId="1" r:id="rId1"/>
    <sheet name="Dashboard" sheetId="2" r:id="rId2"/>
    <sheet name="Cost Planner" sheetId="3" r:id="rId3"/>
    <sheet name="Cloud vs On-Prem" sheetId="4" r:id="rId4"/>
    <sheet name="Vendor Checklist" sheetId="5" r:id="rId5"/>
    <sheet name="Sources &amp; Note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F17" i="4" s="1"/>
  <c r="E16" i="4"/>
  <c r="D16" i="4"/>
  <c r="C16" i="4"/>
  <c r="C17" i="4" s="1"/>
  <c r="B16" i="4"/>
  <c r="B17" i="4" s="1"/>
  <c r="E10" i="4"/>
  <c r="C10" i="4"/>
  <c r="E9" i="4"/>
  <c r="C9" i="4"/>
  <c r="E8" i="4"/>
  <c r="C8" i="4"/>
  <c r="E7" i="4"/>
  <c r="B7" i="4"/>
  <c r="C7" i="4" s="1"/>
  <c r="E6" i="4"/>
  <c r="C6" i="4"/>
  <c r="E5" i="4"/>
  <c r="E4" i="4"/>
  <c r="C4" i="4"/>
  <c r="I21" i="3"/>
  <c r="J21" i="3" s="1"/>
  <c r="F21" i="3"/>
  <c r="I20" i="3"/>
  <c r="J20" i="3" s="1"/>
  <c r="F20" i="3"/>
  <c r="I19" i="3"/>
  <c r="J19" i="3" s="1"/>
  <c r="F19" i="3"/>
  <c r="I18" i="3"/>
  <c r="J18" i="3" s="1"/>
  <c r="F18" i="3"/>
  <c r="I17" i="3"/>
  <c r="J17" i="3" s="1"/>
  <c r="F17" i="3"/>
  <c r="I16" i="3"/>
  <c r="J16" i="3" s="1"/>
  <c r="F16" i="3"/>
  <c r="I15" i="3"/>
  <c r="J15" i="3" s="1"/>
  <c r="F15" i="3"/>
  <c r="I14" i="3"/>
  <c r="J14" i="3" s="1"/>
  <c r="F14" i="3"/>
  <c r="I13" i="3"/>
  <c r="J13" i="3" s="1"/>
  <c r="F13" i="3"/>
  <c r="J12" i="3"/>
  <c r="I12" i="3"/>
  <c r="F12" i="3"/>
  <c r="I11" i="3"/>
  <c r="J11" i="3" s="1"/>
  <c r="F11" i="3"/>
  <c r="I10" i="3"/>
  <c r="J10" i="3" s="1"/>
  <c r="F10" i="3"/>
  <c r="I9" i="3"/>
  <c r="J9" i="3" s="1"/>
  <c r="F9" i="3"/>
  <c r="I8" i="3"/>
  <c r="J8" i="3" s="1"/>
  <c r="F8" i="3"/>
  <c r="I7" i="3"/>
  <c r="J7" i="3" s="1"/>
  <c r="F7" i="3"/>
  <c r="I6" i="3"/>
  <c r="B8" i="2" s="1"/>
  <c r="F6" i="3"/>
  <c r="J5" i="3"/>
  <c r="I5" i="3"/>
  <c r="F5" i="3"/>
  <c r="I4" i="3"/>
  <c r="F4" i="3"/>
  <c r="B20" i="2"/>
  <c r="C20" i="2" s="1"/>
  <c r="B19" i="2"/>
  <c r="B18" i="2"/>
  <c r="B16" i="2"/>
  <c r="C16" i="2" s="1"/>
  <c r="B15" i="2"/>
  <c r="G4" i="2"/>
  <c r="E4" i="2"/>
  <c r="C4" i="2"/>
  <c r="A4" i="2"/>
  <c r="I22" i="3" l="1"/>
  <c r="J4" i="3"/>
  <c r="J22" i="3"/>
  <c r="C10" i="2" s="1"/>
  <c r="B10" i="2"/>
  <c r="B21" i="2"/>
  <c r="B7" i="2"/>
  <c r="D15" i="2" s="1"/>
  <c r="E15" i="2" s="1"/>
  <c r="B17" i="2"/>
  <c r="D17" i="4"/>
  <c r="E17" i="4"/>
  <c r="C19" i="2"/>
  <c r="C15" i="2"/>
  <c r="J6" i="3"/>
  <c r="B14" i="2"/>
  <c r="C18" i="2"/>
  <c r="G16" i="4"/>
  <c r="B5" i="4"/>
  <c r="D14" i="2" l="1"/>
  <c r="E14" i="2" s="1"/>
  <c r="C14" i="2"/>
  <c r="C7" i="2"/>
  <c r="C8" i="2"/>
  <c r="D18" i="2"/>
  <c r="E18" i="2" s="1"/>
  <c r="D19" i="2"/>
  <c r="E19" i="2" s="1"/>
  <c r="E14" i="4"/>
  <c r="C5" i="4"/>
  <c r="D14" i="4"/>
  <c r="C14" i="4"/>
  <c r="B14" i="4"/>
  <c r="F14" i="4"/>
  <c r="H15" i="2"/>
  <c r="G17" i="4"/>
  <c r="D21" i="2"/>
  <c r="E21" i="2" s="1"/>
  <c r="C21" i="2"/>
  <c r="D17" i="2"/>
  <c r="E17" i="2" s="1"/>
  <c r="C17" i="2"/>
  <c r="D20" i="2"/>
  <c r="E20" i="2" s="1"/>
  <c r="D16" i="2"/>
  <c r="E16" i="2" s="1"/>
  <c r="B9" i="2"/>
  <c r="E15" i="4" l="1"/>
  <c r="E18" i="4"/>
  <c r="E19" i="4" s="1"/>
  <c r="I15" i="2"/>
  <c r="F15" i="4"/>
  <c r="F18" i="4"/>
  <c r="F19" i="4" s="1"/>
  <c r="B15" i="4"/>
  <c r="G14" i="4"/>
  <c r="B18" i="4"/>
  <c r="B19" i="4" s="1"/>
  <c r="C9" i="2"/>
  <c r="C18" i="4"/>
  <c r="C19" i="4" s="1"/>
  <c r="C15" i="4"/>
  <c r="D15" i="4"/>
  <c r="D18" i="4"/>
  <c r="D19" i="4" s="1"/>
  <c r="G15" i="4" l="1"/>
  <c r="H14" i="2"/>
  <c r="G18" i="4"/>
  <c r="G19" i="4" s="1"/>
  <c r="I14" i="2" l="1"/>
  <c r="I16" i="2" s="1"/>
  <c r="H16" i="2"/>
  <c r="J16" i="2" s="1"/>
</calcChain>
</file>

<file path=xl/sharedStrings.xml><?xml version="1.0" encoding="utf-8"?>
<sst xmlns="http://schemas.openxmlformats.org/spreadsheetml/2006/main" count="309" uniqueCount="209">
  <si>
    <t>ERP Implementation Budget Planner - USD + INR</t>
  </si>
  <si>
    <t>How to use this planner</t>
  </si>
  <si>
    <t>1. Update the exchange rate, user count, timeline, and contingency assumptions below.</t>
  </si>
  <si>
    <t>2. Edit quantities and rates in the Cost Planner tab. Use either USD or INR inputs for each line item.</t>
  </si>
  <si>
    <t>3. Review the Dashboard and Cloud vs On-Prem tabs for total budget and five-year comparison.</t>
  </si>
  <si>
    <t>Global Inputs</t>
  </si>
  <si>
    <t>Scenario name</t>
  </si>
  <si>
    <t>Mid-Market ERP Implementation</t>
  </si>
  <si>
    <t>Editable</t>
  </si>
  <si>
    <t>Company type</t>
  </si>
  <si>
    <t>Manufacturing / Distribution</t>
  </si>
  <si>
    <t>Annual revenue</t>
  </si>
  <si>
    <t>USD placeholder</t>
  </si>
  <si>
    <t>USD to INR exchange rate</t>
  </si>
  <si>
    <t>Editable; update before sharing/using</t>
  </si>
  <si>
    <t>Implementation timeline</t>
  </si>
  <si>
    <t>Months</t>
  </si>
  <si>
    <t>Contingency reserve</t>
  </si>
  <si>
    <t>Applied to project subtotal</t>
  </si>
  <si>
    <t>Cloud subscription annual uplift</t>
  </si>
  <si>
    <t>Used in 5-year TCO</t>
  </si>
  <si>
    <t>On-prem maintenance uplift</t>
  </si>
  <si>
    <t>Default view</t>
  </si>
  <si>
    <t>Both</t>
  </si>
  <si>
    <t>Both / USD / INR</t>
  </si>
  <si>
    <t>Important note</t>
  </si>
  <si>
    <t>This workbook is a planning aid, not a vendor quote. Update rates, GST/tax, implementation scope, and exchange rate based on actual proposals.</t>
  </si>
  <si>
    <t>Microsoft Business Central placeholders use public USD list pricing for Essentials, Premium, and Team Members. Local pricing, discounts, taxes, and partner terms may differ.</t>
  </si>
  <si>
    <t>INR values are derived from the USD to INR exchange rate entered above unless you choose INR as the input currency for a cost line.</t>
  </si>
  <si>
    <t>Keep one currency as the source for each line item to avoid mixing vendor quotes.</t>
  </si>
  <si>
    <t>For accounting treatment of ERP costs, validate capitalization/expense treatment with finance and auditors.</t>
  </si>
  <si>
    <t>ERP Implementation Budget Dashboard - USD + INR</t>
  </si>
  <si>
    <t>Scenario</t>
  </si>
  <si>
    <t>Exchange Rate</t>
  </si>
  <si>
    <t>Timeline</t>
  </si>
  <si>
    <t>Contingency</t>
  </si>
  <si>
    <t>Generated</t>
  </si>
  <si>
    <t>2026-05-19</t>
  </si>
  <si>
    <t>Key Budget Numbers</t>
  </si>
  <si>
    <t>Total Year 1 Budget</t>
  </si>
  <si>
    <t>Includes contingency</t>
  </si>
  <si>
    <t>Annual Software Subscription</t>
  </si>
  <si>
    <t>Subscription/add-ons/year</t>
  </si>
  <si>
    <t>Project Cost Excluding Software</t>
  </si>
  <si>
    <t>Implementation, internal, hidden, contingency</t>
  </si>
  <si>
    <t>Contingency Reserve</t>
  </si>
  <si>
    <t>Formula driven</t>
  </si>
  <si>
    <t>Category</t>
  </si>
  <si>
    <t>USD</t>
  </si>
  <si>
    <t>INR</t>
  </si>
  <si>
    <t>% of Total</t>
  </si>
  <si>
    <t>Budget Bar</t>
  </si>
  <si>
    <t>Five-Year TCO Snapshot</t>
  </si>
  <si>
    <t>Difference</t>
  </si>
  <si>
    <t>Software licensing</t>
  </si>
  <si>
    <t>Cloud ERP</t>
  </si>
  <si>
    <t>Implementation &amp; consulting</t>
  </si>
  <si>
    <t>On-premise ERP</t>
  </si>
  <si>
    <t>Data &amp; integrations</t>
  </si>
  <si>
    <t>Cloud savings / premium</t>
  </si>
  <si>
    <t>Internal effort</t>
  </si>
  <si>
    <t>Training &amp; change</t>
  </si>
  <si>
    <t>Support &amp; optimization</t>
  </si>
  <si>
    <t>Hidden costs</t>
  </si>
  <si>
    <t>Cost Planner - edit quantities/rates, choose USD or INR source currency</t>
  </si>
  <si>
    <t>Line item</t>
  </si>
  <si>
    <t>Qty</t>
  </si>
  <si>
    <t>Unit</t>
  </si>
  <si>
    <t>USD unit cost</t>
  </si>
  <si>
    <t>INR unit cost</t>
  </si>
  <si>
    <t>Use input</t>
  </si>
  <si>
    <t>Billing basis</t>
  </si>
  <si>
    <t>Year 1 USD</t>
  </si>
  <si>
    <t>Year 1 INR</t>
  </si>
  <si>
    <t>Notes</t>
  </si>
  <si>
    <t>Business Central Essentials users</t>
  </si>
  <si>
    <t>user/month</t>
  </si>
  <si>
    <t>Monthly</t>
  </si>
  <si>
    <t>Public placeholder list price</t>
  </si>
  <si>
    <t>Business Central Premium users</t>
  </si>
  <si>
    <t>Manufacturing/service capabilities</t>
  </si>
  <si>
    <t>Business Central Team Members</t>
  </si>
  <si>
    <t>Light users/read/approve workflows</t>
  </si>
  <si>
    <t>ISV apps / add-ons allowance</t>
  </si>
  <si>
    <t>monthly</t>
  </si>
  <si>
    <t>Replace with AppSource/vendor quote</t>
  </si>
  <si>
    <t>Extra storage / environments</t>
  </si>
  <si>
    <t>Placeholder for sandbox/storage needs</t>
  </si>
  <si>
    <t>Implementation partner consulting</t>
  </si>
  <si>
    <t>hours</t>
  </si>
  <si>
    <t>Hours</t>
  </si>
  <si>
    <t>800 hours x blended partner rate</t>
  </si>
  <si>
    <t>Project governance workshops</t>
  </si>
  <si>
    <t>fixed</t>
  </si>
  <si>
    <t>One-time</t>
  </si>
  <si>
    <t>Steering meetings, process alignment</t>
  </si>
  <si>
    <t>Data migration</t>
  </si>
  <si>
    <t>3-5 years historical data placeholder</t>
  </si>
  <si>
    <t>Integrations</t>
  </si>
  <si>
    <t>integration</t>
  </si>
  <si>
    <t>Two moderate integrations</t>
  </si>
  <si>
    <t>Finance/operations power-user effort</t>
  </si>
  <si>
    <t>Internal time has opportunity cost</t>
  </si>
  <si>
    <t>IT/admin project effort</t>
  </si>
  <si>
    <t>Security, data, testing, access</t>
  </si>
  <si>
    <t>Executive/project owner review</t>
  </si>
  <si>
    <t>Decision-making and approvals</t>
  </si>
  <si>
    <t>End-user training</t>
  </si>
  <si>
    <t>user</t>
  </si>
  <si>
    <t>Per-user training/materials</t>
  </si>
  <si>
    <t>Change communications and documentation</t>
  </si>
  <si>
    <t>Internal comms, SOPs, guides</t>
  </si>
  <si>
    <t>Post-go-live support</t>
  </si>
  <si>
    <t>First 90-180 days support</t>
  </si>
  <si>
    <t>Report/workflow optimization reserve</t>
  </si>
  <si>
    <t>Report tweaks, workflow improvements</t>
  </si>
  <si>
    <t>Productivity loss reserve</t>
  </si>
  <si>
    <t>Temporary efficiency dip during transition</t>
  </si>
  <si>
    <t>Scope creep / extra configuration buffer</t>
  </si>
  <si>
    <t>Before formal contingency</t>
  </si>
  <si>
    <t>formula</t>
  </si>
  <si>
    <t>Formula</t>
  </si>
  <si>
    <t>Calculated as contingency % of project subtotal</t>
  </si>
  <si>
    <t>Cloud vs On-Premise ERP TCO Comparison</t>
  </si>
  <si>
    <t>Assumption</t>
  </si>
  <si>
    <t>Cloud USD</t>
  </si>
  <si>
    <t>Cloud INR</t>
  </si>
  <si>
    <t>On-prem USD</t>
  </si>
  <si>
    <t>On-prem INR</t>
  </si>
  <si>
    <t>Upfront software license</t>
  </si>
  <si>
    <t>Cloud has subscription, on-prem has upfront license</t>
  </si>
  <si>
    <t>Annual software subscription / maintenance</t>
  </si>
  <si>
    <t>Cloud pulls annual software from Cost Planner</t>
  </si>
  <si>
    <t>Infrastructure / hosting cost</t>
  </si>
  <si>
    <t>On-prem server, database, backup, security</t>
  </si>
  <si>
    <t>Implementation services</t>
  </si>
  <si>
    <t>Cloud pulls implementation, data, integration totals where possible</t>
  </si>
  <si>
    <t>Internal IT/admin cost per year</t>
  </si>
  <si>
    <t>Placeholder</t>
  </si>
  <si>
    <t>Upgrade/enhancement reserve per year</t>
  </si>
  <si>
    <t>Hardware refresh in Year 4</t>
  </si>
  <si>
    <t>On-prem reserve</t>
  </si>
  <si>
    <t>5-Year TCO</t>
  </si>
  <si>
    <t>Year 1</t>
  </si>
  <si>
    <t>Year 2</t>
  </si>
  <si>
    <t>Year 3</t>
  </si>
  <si>
    <t>Year 4</t>
  </si>
  <si>
    <t>Year 5</t>
  </si>
  <si>
    <t>5-Year Total</t>
  </si>
  <si>
    <t>Cloud ERP - USD</t>
  </si>
  <si>
    <t>Cloud TCO</t>
  </si>
  <si>
    <t>Cloud ERP - INR</t>
  </si>
  <si>
    <t>Converted at FX</t>
  </si>
  <si>
    <t>On-premise ERP - USD</t>
  </si>
  <si>
    <t>On-prem TCO</t>
  </si>
  <si>
    <t>On-premise ERP - INR</t>
  </si>
  <si>
    <t>Cloud savings/premium - USD</t>
  </si>
  <si>
    <t>Positive means cloud is lower</t>
  </si>
  <si>
    <t>Cloud savings/premium - INR</t>
  </si>
  <si>
    <t>Vendor Quote Review Checklist</t>
  </si>
  <si>
    <t>Area</t>
  </si>
  <si>
    <t>Question to ask</t>
  </si>
  <si>
    <t>Status</t>
  </si>
  <si>
    <t>Owner</t>
  </si>
  <si>
    <t>Scope</t>
  </si>
  <si>
    <t>What is included in the quoted implementation fee?</t>
  </si>
  <si>
    <t>Not Checked</t>
  </si>
  <si>
    <t>What triggers a change order?</t>
  </si>
  <si>
    <t>Consulting</t>
  </si>
  <si>
    <t>How many consultant hours are assumed and at what rate?</t>
  </si>
  <si>
    <t>Data</t>
  </si>
  <si>
    <t>What data migration scope is included?</t>
  </si>
  <si>
    <t>How are integrations estimated and priced?</t>
  </si>
  <si>
    <t>Licensing</t>
  </si>
  <si>
    <t>What is the renewal pricing after year one?</t>
  </si>
  <si>
    <t>Are price increases capped in the contract?</t>
  </si>
  <si>
    <t>What happens to cost if go-live slips?</t>
  </si>
  <si>
    <t>Support</t>
  </si>
  <si>
    <t>How much post-go-live support is included?</t>
  </si>
  <si>
    <t>Training</t>
  </si>
  <si>
    <t>Is end-user and super-user training included?</t>
  </si>
  <si>
    <t>Security</t>
  </si>
  <si>
    <t>Are roles, permissions, and audit requirements included?</t>
  </si>
  <si>
    <t>Reporting</t>
  </si>
  <si>
    <t>Are core dashboards/reports included or billed separately?</t>
  </si>
  <si>
    <t>Customization</t>
  </si>
  <si>
    <t>Which requirements need custom code instead of configuration?</t>
  </si>
  <si>
    <t>Exit</t>
  </si>
  <si>
    <t>What data export and termination clauses apply?</t>
  </si>
  <si>
    <t>Sources &amp; Notes</t>
  </si>
  <si>
    <t>Source / note</t>
  </si>
  <si>
    <t>URL or detail</t>
  </si>
  <si>
    <t>Used for</t>
  </si>
  <si>
    <t>Date checked</t>
  </si>
  <si>
    <t>NGenious ERP implementation cost blog</t>
  </si>
  <si>
    <t>https://ngenioussolutions.com/blog/erp-implementation-cost/</t>
  </si>
  <si>
    <t>Cost category structure and blog CTA alignment</t>
  </si>
  <si>
    <t>Microsoft Dynamics 365 Business Central pricing</t>
  </si>
  <si>
    <t>https://www.microsoft.com/en-us/dynamics-365/products/business-central/pricing</t>
  </si>
  <si>
    <t>Public USD placeholders: Essentials, Premium, Team Members</t>
  </si>
  <si>
    <t>Placeholder assumptions</t>
  </si>
  <si>
    <t>All consulting, internal effort, training, migration, hidden cost, and on-prem values are sample planning values, not vendor quotes.</t>
  </si>
  <si>
    <t>Workbook sample scenario</t>
  </si>
  <si>
    <t>Currency conversion</t>
  </si>
  <si>
    <t>Update the USD to INR exchange rate in Start Here!B12 before using this workbook with live quotes.</t>
  </si>
  <si>
    <t>INR conversion</t>
  </si>
  <si>
    <t>Tax/GST note</t>
  </si>
  <si>
    <t>Prices exclude taxes, GST, discounts, partner terms, and country-specific commercial arrangements unless users add them as separate cost lines.</t>
  </si>
  <si>
    <t>Commercial accuracy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</si>
</sst>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"/>
    <numFmt numFmtId="165" formatCode="&quot;₹&quot;#,##0"/>
  </numFmts>
  <fonts count="10">
    <font>
      <sz val="11"/>
      <name val="Carlito"/>
    </font>
    <font>
      <b/>
      <sz val="16"/>
      <color rgb="FFFFFFFF"/>
      <name val="Carlito"/>
    </font>
    <font>
      <b/>
      <sz val="11"/>
      <color rgb="FF1F1F1F"/>
      <name val="Carlito"/>
    </font>
    <font>
      <b/>
      <sz val="15"/>
      <color rgb="FFFFFFFF"/>
      <name val="Carlito"/>
    </font>
    <font>
      <sz val="10"/>
      <color rgb="FF595959"/>
      <name val="Carlito"/>
    </font>
    <font>
      <sz val="10"/>
      <name val="Carlito"/>
    </font>
    <font>
      <b/>
      <sz val="10"/>
      <name val="Carlito"/>
    </font>
    <font>
      <sz val="10"/>
      <color rgb="FF1F4E78"/>
      <name val="Carlito"/>
    </font>
    <font>
      <b/>
      <sz val="10"/>
      <color rgb="FFFFFFFF"/>
      <name val="Carlito"/>
    </font>
    <font>
      <b/>
      <sz val="10"/>
      <color rgb="FF1F1F1F"/>
      <name val="Carlito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8F9FA"/>
      </patternFill>
    </fill>
    <fill>
      <patternFill patternType="solid">
        <fgColor rgb="FFEAF4FB"/>
      </patternFill>
    </fill>
    <fill>
      <patternFill patternType="solid">
        <fgColor rgb="FFFFF2CC"/>
      </patternFill>
    </fill>
    <fill>
      <patternFill patternType="solid">
        <fgColor rgb="FFFCE4D6"/>
      </patternFill>
    </fill>
    <fill>
      <patternFill patternType="solid">
        <fgColor rgb="FFF3FAE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/>
    </xf>
    <xf numFmtId="0" fontId="5" fillId="6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 wrapText="1"/>
    </xf>
    <xf numFmtId="0" fontId="5" fillId="0" borderId="0" xfId="0" applyFont="1" applyBorder="1"/>
    <xf numFmtId="0" fontId="5" fillId="0" borderId="3" xfId="0" applyFont="1" applyBorder="1"/>
    <xf numFmtId="164" fontId="5" fillId="6" borderId="0" xfId="0" applyNumberFormat="1" applyFont="1" applyFill="1" applyBorder="1" applyAlignment="1">
      <alignment horizontal="left" vertical="center"/>
    </xf>
    <xf numFmtId="2" fontId="5" fillId="6" borderId="0" xfId="0" applyNumberFormat="1" applyFont="1" applyFill="1" applyBorder="1" applyAlignment="1">
      <alignment horizontal="left" vertical="center"/>
    </xf>
    <xf numFmtId="1" fontId="5" fillId="6" borderId="0" xfId="0" applyNumberFormat="1" applyFont="1" applyFill="1" applyBorder="1" applyAlignment="1">
      <alignment horizontal="left" vertical="center"/>
    </xf>
    <xf numFmtId="9" fontId="5" fillId="6" borderId="0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2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9" fontId="5" fillId="0" borderId="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/>
    </xf>
    <xf numFmtId="164" fontId="6" fillId="8" borderId="0" xfId="0" applyNumberFormat="1" applyFont="1" applyFill="1" applyBorder="1" applyAlignment="1">
      <alignment horizontal="center" vertical="center"/>
    </xf>
    <xf numFmtId="165" fontId="6" fillId="8" borderId="0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5" borderId="0" xfId="0" applyFont="1" applyFill="1" applyBorder="1" applyAlignment="1">
      <alignment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5" borderId="2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8" borderId="0" xfId="0" applyNumberFormat="1" applyFont="1" applyFill="1" applyBorder="1" applyAlignment="1">
      <alignment horizontal="center" vertical="center" wrapText="1"/>
    </xf>
    <xf numFmtId="165" fontId="5" fillId="8" borderId="0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 wrapText="1"/>
    </xf>
    <xf numFmtId="0" fontId="6" fillId="7" borderId="5" xfId="0" applyFont="1" applyFill="1" applyBorder="1" applyAlignment="1">
      <alignment vertical="center" wrapText="1"/>
    </xf>
    <xf numFmtId="3" fontId="6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164" fontId="6" fillId="7" borderId="5" xfId="0" applyNumberFormat="1" applyFont="1" applyFill="1" applyBorder="1" applyAlignment="1">
      <alignment horizontal="center" vertical="center" wrapText="1"/>
    </xf>
    <xf numFmtId="165" fontId="6" fillId="7" borderId="5" xfId="0" applyNumberFormat="1" applyFont="1" applyFill="1" applyBorder="1" applyAlignment="1">
      <alignment horizontal="center" vertical="center" wrapText="1"/>
    </xf>
    <xf numFmtId="164" fontId="6" fillId="8" borderId="5" xfId="0" applyNumberFormat="1" applyFont="1" applyFill="1" applyBorder="1" applyAlignment="1">
      <alignment horizontal="center" vertical="center" wrapText="1"/>
    </xf>
    <xf numFmtId="165" fontId="6" fillId="8" borderId="5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4" fontId="5" fillId="8" borderId="0" xfId="0" applyNumberFormat="1" applyFont="1" applyFill="1" applyBorder="1" applyAlignment="1">
      <alignment horizontal="center" vertical="center"/>
    </xf>
    <xf numFmtId="165" fontId="5" fillId="8" borderId="0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165" fontId="5" fillId="0" borderId="5" xfId="0" applyNumberFormat="1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5" fillId="6" borderId="0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6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sz val="10"/>
        <color auto="1"/>
        <name val="Carlito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rlito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rlito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rlito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rlito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rlito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rlito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rlito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rlito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rlito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rlito"/>
        <scheme val="none"/>
      </font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rlito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rlito"/>
        <scheme val="none"/>
      </font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USD Budget</c:v>
          </c:tx>
          <c:invertIfNegative val="1"/>
          <c:cat>
            <c:strRef>
              <c:f>Dashboard!$A$14:$A$21</c:f>
              <c:strCache>
                <c:ptCount val="8"/>
                <c:pt idx="0">
                  <c:v>Software licensing</c:v>
                </c:pt>
                <c:pt idx="1">
                  <c:v>Implementation &amp; consulting</c:v>
                </c:pt>
                <c:pt idx="2">
                  <c:v>Data &amp; integrations</c:v>
                </c:pt>
                <c:pt idx="3">
                  <c:v>Internal effort</c:v>
                </c:pt>
                <c:pt idx="4">
                  <c:v>Training &amp; change</c:v>
                </c:pt>
                <c:pt idx="5">
                  <c:v>Support &amp; optimization</c:v>
                </c:pt>
                <c:pt idx="6">
                  <c:v>Hidden costs</c:v>
                </c:pt>
                <c:pt idx="7">
                  <c:v>Contingency</c:v>
                </c:pt>
              </c:strCache>
            </c:strRef>
          </c:cat>
          <c:val>
            <c:numRef>
              <c:f>Dashboard!$B$14:$B$21</c:f>
              <c:numCache>
                <c:formatCode>\$#,##0</c:formatCode>
                <c:ptCount val="8"/>
                <c:pt idx="0">
                  <c:v>57960</c:v>
                </c:pt>
                <c:pt idx="1">
                  <c:v>152000</c:v>
                </c:pt>
                <c:pt idx="2">
                  <c:v>34000</c:v>
                </c:pt>
                <c:pt idx="3">
                  <c:v>23900</c:v>
                </c:pt>
                <c:pt idx="4">
                  <c:v>20500</c:v>
                </c:pt>
                <c:pt idx="5">
                  <c:v>27000</c:v>
                </c:pt>
                <c:pt idx="6">
                  <c:v>35000</c:v>
                </c:pt>
                <c:pt idx="7">
                  <c:v>70072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3-4571-937F-498DAA8E1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\$#,##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1400175</xdr:colOff>
      <xdr:row>0</xdr:row>
      <xdr:rowOff>257175</xdr:rowOff>
    </xdr:from>
    <xdr:to>
      <xdr:col>2</xdr:col>
      <xdr:colOff>1990725</xdr:colOff>
      <xdr:row>0</xdr:row>
      <xdr:rowOff>935186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5F22D5-E0C8-9589-0CF2-3C1DD75AC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5" y="257175"/>
          <a:ext cx="2724150" cy="678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10</xdr:col>
      <xdr:colOff>0</xdr:colOff>
      <xdr:row>33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stPlannerTable" displayName="CostPlannerTable" ref="A3:K22" headerRowDxfId="13" dataDxfId="12" totalsRowDxfId="11">
  <tableColumns count="11">
    <tableColumn id="1" xr3:uid="{00000000-0010-0000-0000-000001000000}" name="Category" dataDxfId="10"/>
    <tableColumn id="2" xr3:uid="{00000000-0010-0000-0000-000002000000}" name="Line item" dataDxfId="9"/>
    <tableColumn id="3" xr3:uid="{00000000-0010-0000-0000-000003000000}" name="Qty" dataDxfId="8"/>
    <tableColumn id="4" xr3:uid="{00000000-0010-0000-0000-000004000000}" name="Unit" dataDxfId="7"/>
    <tableColumn id="5" xr3:uid="{00000000-0010-0000-0000-000005000000}" name="USD unit cost" dataDxfId="6"/>
    <tableColumn id="6" xr3:uid="{00000000-0010-0000-0000-000006000000}" name="INR unit cost" dataDxfId="5"/>
    <tableColumn id="7" xr3:uid="{00000000-0010-0000-0000-000007000000}" name="Use input" dataDxfId="4"/>
    <tableColumn id="8" xr3:uid="{00000000-0010-0000-0000-000008000000}" name="Billing basis" dataDxfId="3"/>
    <tableColumn id="9" xr3:uid="{00000000-0010-0000-0000-000009000000}" name="Year 1 USD" dataDxfId="2"/>
    <tableColumn id="10" xr3:uid="{00000000-0010-0000-0000-00000A000000}" name="Year 1 INR" dataDxfId="1"/>
    <tableColumn id="11" xr3:uid="{00000000-0010-0000-0000-00000B000000}" name="No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workbookViewId="0">
      <selection sqref="A1:F1"/>
    </sheetView>
  </sheetViews>
  <sheetFormatPr defaultRowHeight="14.25"/>
  <cols>
    <col min="1" max="2" width="28" customWidth="1"/>
    <col min="3" max="3" width="32" customWidth="1"/>
    <col min="4" max="5" width="12" customWidth="1"/>
    <col min="6" max="6" width="18.25" customWidth="1"/>
  </cols>
  <sheetData>
    <row r="1" spans="1:6" ht="96.75" customHeight="1">
      <c r="A1" s="6"/>
      <c r="B1" s="6"/>
      <c r="C1" s="6"/>
      <c r="D1" s="6"/>
      <c r="E1" s="6"/>
      <c r="F1" s="6"/>
    </row>
    <row r="2" spans="1:6" s="1" customFormat="1" ht="37.5" customHeight="1">
      <c r="A2" s="7" t="s">
        <v>0</v>
      </c>
      <c r="B2" s="8"/>
      <c r="C2" s="8"/>
      <c r="D2" s="8"/>
      <c r="E2" s="8"/>
      <c r="F2" s="9"/>
    </row>
    <row r="3" spans="1:6">
      <c r="A3" s="10"/>
      <c r="B3" s="11"/>
      <c r="C3" s="11"/>
      <c r="D3" s="11"/>
      <c r="E3" s="11"/>
      <c r="F3" s="12"/>
    </row>
    <row r="4" spans="1:6" s="1" customFormat="1" ht="23.25" customHeight="1">
      <c r="A4" s="13" t="s">
        <v>1</v>
      </c>
      <c r="B4" s="14"/>
      <c r="C4" s="14"/>
      <c r="D4" s="14"/>
      <c r="E4" s="14"/>
      <c r="F4" s="15"/>
    </row>
    <row r="5" spans="1:6" s="2" customFormat="1" ht="23.25" customHeight="1">
      <c r="A5" s="16" t="s">
        <v>2</v>
      </c>
      <c r="B5" s="17"/>
      <c r="C5" s="17"/>
      <c r="D5" s="17"/>
      <c r="E5" s="17"/>
      <c r="F5" s="18"/>
    </row>
    <row r="6" spans="1:6" s="2" customFormat="1" ht="23.25" customHeight="1">
      <c r="A6" s="16" t="s">
        <v>3</v>
      </c>
      <c r="B6" s="17"/>
      <c r="C6" s="17"/>
      <c r="D6" s="17"/>
      <c r="E6" s="17"/>
      <c r="F6" s="18"/>
    </row>
    <row r="7" spans="1:6" s="2" customFormat="1" ht="23.25" customHeight="1">
      <c r="A7" s="16" t="s">
        <v>4</v>
      </c>
      <c r="B7" s="17"/>
      <c r="C7" s="17"/>
      <c r="D7" s="17"/>
      <c r="E7" s="17"/>
      <c r="F7" s="18"/>
    </row>
    <row r="8" spans="1:6" ht="23.25" customHeight="1">
      <c r="A8" s="10"/>
      <c r="B8" s="11"/>
      <c r="C8" s="11"/>
      <c r="D8" s="11"/>
      <c r="E8" s="11"/>
      <c r="F8" s="12"/>
    </row>
    <row r="9" spans="1:6" ht="23.25" customHeight="1">
      <c r="A9" s="19" t="s">
        <v>5</v>
      </c>
      <c r="B9" s="20"/>
      <c r="C9" s="20"/>
      <c r="D9" s="11"/>
      <c r="E9" s="11"/>
      <c r="F9" s="12"/>
    </row>
    <row r="10" spans="1:6" s="3" customFormat="1" ht="23.25" customHeight="1">
      <c r="A10" s="21" t="s">
        <v>6</v>
      </c>
      <c r="B10" s="22" t="s">
        <v>7</v>
      </c>
      <c r="C10" s="23" t="s">
        <v>8</v>
      </c>
      <c r="D10" s="24"/>
      <c r="E10" s="24"/>
      <c r="F10" s="25"/>
    </row>
    <row r="11" spans="1:6" s="3" customFormat="1" ht="23.25" customHeight="1">
      <c r="A11" s="21" t="s">
        <v>9</v>
      </c>
      <c r="B11" s="22" t="s">
        <v>10</v>
      </c>
      <c r="C11" s="23" t="s">
        <v>8</v>
      </c>
      <c r="D11" s="24"/>
      <c r="E11" s="24"/>
      <c r="F11" s="25"/>
    </row>
    <row r="12" spans="1:6" s="3" customFormat="1" ht="23.25" customHeight="1">
      <c r="A12" s="21" t="s">
        <v>11</v>
      </c>
      <c r="B12" s="26">
        <v>50000000</v>
      </c>
      <c r="C12" s="23" t="s">
        <v>12</v>
      </c>
      <c r="D12" s="24"/>
      <c r="E12" s="24"/>
      <c r="F12" s="25"/>
    </row>
    <row r="13" spans="1:6" s="3" customFormat="1" ht="23.25" customHeight="1">
      <c r="A13" s="21" t="s">
        <v>13</v>
      </c>
      <c r="B13" s="27">
        <v>83</v>
      </c>
      <c r="C13" s="23" t="s">
        <v>14</v>
      </c>
      <c r="D13" s="24"/>
      <c r="E13" s="24"/>
      <c r="F13" s="25"/>
    </row>
    <row r="14" spans="1:6" s="3" customFormat="1" ht="23.25" customHeight="1">
      <c r="A14" s="21" t="s">
        <v>15</v>
      </c>
      <c r="B14" s="28">
        <v>7</v>
      </c>
      <c r="C14" s="23" t="s">
        <v>16</v>
      </c>
      <c r="D14" s="24"/>
      <c r="E14" s="24"/>
      <c r="F14" s="25"/>
    </row>
    <row r="15" spans="1:6" s="3" customFormat="1" ht="23.25" customHeight="1">
      <c r="A15" s="21" t="s">
        <v>17</v>
      </c>
      <c r="B15" s="29">
        <v>0.2</v>
      </c>
      <c r="C15" s="23" t="s">
        <v>18</v>
      </c>
      <c r="D15" s="24"/>
      <c r="E15" s="24"/>
      <c r="F15" s="25"/>
    </row>
    <row r="16" spans="1:6" s="3" customFormat="1" ht="23.25" customHeight="1">
      <c r="A16" s="21" t="s">
        <v>19</v>
      </c>
      <c r="B16" s="29">
        <v>0.05</v>
      </c>
      <c r="C16" s="23" t="s">
        <v>20</v>
      </c>
      <c r="D16" s="24"/>
      <c r="E16" s="24"/>
      <c r="F16" s="25"/>
    </row>
    <row r="17" spans="1:6" s="3" customFormat="1" ht="23.25" customHeight="1">
      <c r="A17" s="21" t="s">
        <v>21</v>
      </c>
      <c r="B17" s="29">
        <v>0.04</v>
      </c>
      <c r="C17" s="23" t="s">
        <v>20</v>
      </c>
      <c r="D17" s="24"/>
      <c r="E17" s="24"/>
      <c r="F17" s="25"/>
    </row>
    <row r="18" spans="1:6" s="3" customFormat="1" ht="23.25" customHeight="1">
      <c r="A18" s="21" t="s">
        <v>22</v>
      </c>
      <c r="B18" s="22" t="s">
        <v>23</v>
      </c>
      <c r="C18" s="23" t="s">
        <v>24</v>
      </c>
      <c r="D18" s="24"/>
      <c r="E18" s="24"/>
      <c r="F18" s="25"/>
    </row>
    <row r="19" spans="1:6" ht="23.25" customHeight="1">
      <c r="A19" s="30"/>
      <c r="B19" s="31"/>
      <c r="C19" s="31"/>
      <c r="D19" s="11"/>
      <c r="E19" s="11"/>
      <c r="F19" s="12"/>
    </row>
    <row r="20" spans="1:6" ht="23.25" customHeight="1">
      <c r="A20" s="10"/>
      <c r="B20" s="11"/>
      <c r="C20" s="11"/>
      <c r="D20" s="11"/>
      <c r="E20" s="11"/>
      <c r="F20" s="12"/>
    </row>
    <row r="21" spans="1:6" s="1" customFormat="1" ht="23.25" customHeight="1">
      <c r="A21" s="13" t="s">
        <v>25</v>
      </c>
      <c r="B21" s="14"/>
      <c r="C21" s="14"/>
      <c r="D21" s="14"/>
      <c r="E21" s="14"/>
      <c r="F21" s="15"/>
    </row>
    <row r="22" spans="1:6" s="2" customFormat="1" ht="23.25" customHeight="1">
      <c r="A22" s="16" t="s">
        <v>26</v>
      </c>
      <c r="B22" s="17"/>
      <c r="C22" s="17"/>
      <c r="D22" s="17"/>
      <c r="E22" s="17"/>
      <c r="F22" s="18"/>
    </row>
    <row r="23" spans="1:6" s="2" customFormat="1" ht="23.25" customHeight="1">
      <c r="A23" s="32" t="s">
        <v>27</v>
      </c>
      <c r="B23" s="33"/>
      <c r="C23" s="33"/>
      <c r="D23" s="33"/>
      <c r="E23" s="33"/>
      <c r="F23" s="34"/>
    </row>
    <row r="24" spans="1:6" s="2" customFormat="1" ht="23.25" customHeight="1">
      <c r="A24" s="16" t="s">
        <v>28</v>
      </c>
      <c r="B24" s="17"/>
      <c r="C24" s="17"/>
      <c r="D24" s="17"/>
      <c r="E24" s="17"/>
      <c r="F24" s="18"/>
    </row>
    <row r="25" spans="1:6" s="2" customFormat="1" ht="23.25" customHeight="1">
      <c r="A25" s="16" t="s">
        <v>29</v>
      </c>
      <c r="B25" s="17"/>
      <c r="C25" s="17"/>
      <c r="D25" s="17"/>
      <c r="E25" s="17"/>
      <c r="F25" s="18"/>
    </row>
    <row r="26" spans="1:6" s="2" customFormat="1" ht="23.25" customHeight="1">
      <c r="A26" s="35" t="s">
        <v>30</v>
      </c>
      <c r="B26" s="36"/>
      <c r="C26" s="36"/>
      <c r="D26" s="36"/>
      <c r="E26" s="36"/>
      <c r="F26" s="37"/>
    </row>
  </sheetData>
  <mergeCells count="11">
    <mergeCell ref="A1:F1"/>
    <mergeCell ref="A2:F2"/>
    <mergeCell ref="A5:F5"/>
    <mergeCell ref="A6:F6"/>
    <mergeCell ref="A7:F7"/>
    <mergeCell ref="A9:C9"/>
    <mergeCell ref="A22:F22"/>
    <mergeCell ref="A23:F23"/>
    <mergeCell ref="A24:F24"/>
    <mergeCell ref="A25:F25"/>
    <mergeCell ref="A26:F26"/>
  </mergeCells>
  <dataValidations count="1">
    <dataValidation type="list" sqref="B18" xr:uid="{00000000-0002-0000-0000-000000000000}">
      <formula1>"Both,USD,INR"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workbookViewId="0">
      <selection activeCell="K5" sqref="K5"/>
    </sheetView>
  </sheetViews>
  <sheetFormatPr defaultRowHeight="21" customHeight="1"/>
  <cols>
    <col min="1" max="1" width="28" style="1" customWidth="1"/>
    <col min="2" max="2" width="16" style="1" customWidth="1"/>
    <col min="3" max="3" width="18" style="1" customWidth="1"/>
    <col min="4" max="4" width="28" style="1" customWidth="1"/>
    <col min="5" max="5" width="22" style="1" customWidth="1"/>
    <col min="6" max="6" width="4" style="1" customWidth="1"/>
    <col min="7" max="7" width="24" style="1" customWidth="1"/>
    <col min="8" max="8" width="16" style="1" customWidth="1"/>
    <col min="9" max="9" width="20" style="1" customWidth="1"/>
    <col min="10" max="10" width="30" style="1" customWidth="1"/>
    <col min="11" max="16384" width="9" style="1"/>
  </cols>
  <sheetData>
    <row r="1" spans="1:10" ht="36" customHeight="1">
      <c r="A1" s="38" t="s">
        <v>31</v>
      </c>
      <c r="B1" s="39"/>
      <c r="C1" s="39"/>
      <c r="D1" s="39"/>
      <c r="E1" s="39"/>
      <c r="F1" s="39"/>
      <c r="G1" s="39"/>
      <c r="H1" s="39"/>
      <c r="I1" s="39"/>
      <c r="J1" s="40"/>
    </row>
    <row r="2" spans="1:10" ht="21" customHeight="1">
      <c r="A2" s="41"/>
      <c r="B2" s="42"/>
      <c r="C2" s="42"/>
      <c r="D2" s="42"/>
      <c r="E2" s="42"/>
      <c r="F2" s="42"/>
      <c r="G2" s="42"/>
      <c r="H2" s="42"/>
      <c r="I2" s="42"/>
      <c r="J2" s="43"/>
    </row>
    <row r="3" spans="1:10" s="2" customFormat="1" ht="21" customHeight="1">
      <c r="A3" s="44" t="s">
        <v>32</v>
      </c>
      <c r="B3" s="45"/>
      <c r="C3" s="45" t="s">
        <v>33</v>
      </c>
      <c r="D3" s="45"/>
      <c r="E3" s="45" t="s">
        <v>34</v>
      </c>
      <c r="F3" s="45"/>
      <c r="G3" s="45" t="s">
        <v>35</v>
      </c>
      <c r="H3" s="45"/>
      <c r="I3" s="45" t="s">
        <v>36</v>
      </c>
      <c r="J3" s="46"/>
    </row>
    <row r="4" spans="1:10" s="4" customFormat="1" ht="21" customHeight="1">
      <c r="A4" s="47" t="str">
        <f>'Start Here'!B10</f>
        <v>Mid-Market ERP Implementation</v>
      </c>
      <c r="B4" s="48"/>
      <c r="C4" s="49">
        <f>'Start Here'!$B$13</f>
        <v>83</v>
      </c>
      <c r="D4" s="50"/>
      <c r="E4" s="50" t="str">
        <f>'Start Here'!B14&amp;" months"</f>
        <v>7 months</v>
      </c>
      <c r="F4" s="50"/>
      <c r="G4" s="51">
        <f>'Start Here'!$B$15</f>
        <v>0.2</v>
      </c>
      <c r="H4" s="50"/>
      <c r="I4" s="50" t="s">
        <v>37</v>
      </c>
      <c r="J4" s="52"/>
    </row>
    <row r="5" spans="1:10" ht="21" customHeight="1">
      <c r="A5" s="41"/>
      <c r="B5" s="42"/>
      <c r="C5" s="42"/>
      <c r="D5" s="42"/>
      <c r="E5" s="42"/>
      <c r="F5" s="42"/>
      <c r="G5" s="42"/>
      <c r="H5" s="42"/>
      <c r="I5" s="42"/>
      <c r="J5" s="43"/>
    </row>
    <row r="6" spans="1:10" s="2" customFormat="1" ht="21" customHeight="1">
      <c r="A6" s="53" t="s">
        <v>38</v>
      </c>
      <c r="B6" s="54"/>
      <c r="C6" s="54"/>
      <c r="D6" s="54"/>
      <c r="E6" s="54"/>
      <c r="F6" s="54"/>
      <c r="G6" s="54"/>
      <c r="H6" s="54"/>
      <c r="I6" s="54"/>
      <c r="J6" s="55"/>
    </row>
    <row r="7" spans="1:10" ht="21" customHeight="1">
      <c r="A7" s="56" t="s">
        <v>39</v>
      </c>
      <c r="B7" s="57">
        <f>SUM('Cost Planner'!I4:I22)</f>
        <v>420432</v>
      </c>
      <c r="C7" s="58">
        <f>SUM('Cost Planner'!J4:J22)</f>
        <v>34895856</v>
      </c>
      <c r="D7" s="23" t="s">
        <v>40</v>
      </c>
      <c r="E7" s="42"/>
      <c r="F7" s="42"/>
      <c r="G7" s="42"/>
      <c r="H7" s="42"/>
      <c r="I7" s="42"/>
      <c r="J7" s="43"/>
    </row>
    <row r="8" spans="1:10" ht="21" customHeight="1">
      <c r="A8" s="56" t="s">
        <v>41</v>
      </c>
      <c r="B8" s="57">
        <f>SUMIF('Cost Planner'!A:A,"Software licensing",'Cost Planner'!I:I)</f>
        <v>57960</v>
      </c>
      <c r="C8" s="58">
        <f>SUMIF('Cost Planner'!A:A,"Software licensing",'Cost Planner'!J:J)</f>
        <v>4810680</v>
      </c>
      <c r="D8" s="23" t="s">
        <v>42</v>
      </c>
      <c r="E8" s="42"/>
      <c r="F8" s="42"/>
      <c r="G8" s="42"/>
      <c r="H8" s="42"/>
      <c r="I8" s="42"/>
      <c r="J8" s="43"/>
    </row>
    <row r="9" spans="1:10" ht="21" customHeight="1">
      <c r="A9" s="56" t="s">
        <v>43</v>
      </c>
      <c r="B9" s="57">
        <f>B7-B8</f>
        <v>362472</v>
      </c>
      <c r="C9" s="58">
        <f>C7-C8</f>
        <v>30085176</v>
      </c>
      <c r="D9" s="59" t="s">
        <v>44</v>
      </c>
      <c r="E9" s="42"/>
      <c r="F9" s="42"/>
      <c r="G9" s="42"/>
      <c r="H9" s="42"/>
      <c r="I9" s="42"/>
      <c r="J9" s="43"/>
    </row>
    <row r="10" spans="1:10" ht="21" customHeight="1">
      <c r="A10" s="56" t="s">
        <v>45</v>
      </c>
      <c r="B10" s="57">
        <f>SUMIF('Cost Planner'!A:A,"Contingency",'Cost Planner'!I:I)</f>
        <v>70072</v>
      </c>
      <c r="C10" s="58">
        <f>SUMIF('Cost Planner'!A:A,"Contingency",'Cost Planner'!J:J)</f>
        <v>5815976</v>
      </c>
      <c r="D10" s="23" t="s">
        <v>46</v>
      </c>
      <c r="E10" s="42"/>
      <c r="F10" s="42"/>
      <c r="G10" s="42"/>
      <c r="H10" s="42"/>
      <c r="I10" s="42"/>
      <c r="J10" s="43"/>
    </row>
    <row r="11" spans="1:10" ht="21" customHeight="1">
      <c r="A11" s="41"/>
      <c r="B11" s="42"/>
      <c r="C11" s="42"/>
      <c r="D11" s="42"/>
      <c r="E11" s="42"/>
      <c r="F11" s="42"/>
      <c r="G11" s="42"/>
      <c r="H11" s="42"/>
      <c r="I11" s="42"/>
      <c r="J11" s="43"/>
    </row>
    <row r="12" spans="1:10" ht="21" customHeight="1">
      <c r="A12" s="41"/>
      <c r="B12" s="42"/>
      <c r="C12" s="42"/>
      <c r="D12" s="42"/>
      <c r="E12" s="42"/>
      <c r="F12" s="42"/>
      <c r="G12" s="42"/>
      <c r="H12" s="42"/>
      <c r="I12" s="42"/>
      <c r="J12" s="43"/>
    </row>
    <row r="13" spans="1:10" s="2" customFormat="1" ht="27" customHeight="1">
      <c r="A13" s="60" t="s">
        <v>47</v>
      </c>
      <c r="B13" s="61" t="s">
        <v>48</v>
      </c>
      <c r="C13" s="61" t="s">
        <v>49</v>
      </c>
      <c r="D13" s="61" t="s">
        <v>50</v>
      </c>
      <c r="E13" s="61" t="s">
        <v>51</v>
      </c>
      <c r="F13" s="62"/>
      <c r="G13" s="61" t="s">
        <v>52</v>
      </c>
      <c r="H13" s="61" t="s">
        <v>48</v>
      </c>
      <c r="I13" s="61" t="s">
        <v>49</v>
      </c>
      <c r="J13" s="63" t="s">
        <v>53</v>
      </c>
    </row>
    <row r="14" spans="1:10" s="2" customFormat="1" ht="21" customHeight="1">
      <c r="A14" s="64" t="s">
        <v>54</v>
      </c>
      <c r="B14" s="65">
        <f>SUMIF('Cost Planner'!$A:$A,A14,'Cost Planner'!$I:$I)</f>
        <v>57960</v>
      </c>
      <c r="C14" s="66">
        <f>B14*'Start Here'!$B$13</f>
        <v>4810680</v>
      </c>
      <c r="D14" s="51">
        <f t="shared" ref="D14:D21" si="0">IFERROR(B14/$B$7,0)</f>
        <v>0.13785820299120904</v>
      </c>
      <c r="E14" s="67" t="str">
        <f t="shared" ref="E14:E21" si="1">REPT("█",ROUND(D14*30,0))</f>
        <v>████</v>
      </c>
      <c r="F14" s="62"/>
      <c r="G14" s="68" t="s">
        <v>55</v>
      </c>
      <c r="H14" s="69">
        <f>'Cloud vs On-Prem'!G14</f>
        <v>641265.58724999998</v>
      </c>
      <c r="I14" s="70">
        <f>H14*'Start Here'!$B$13</f>
        <v>53225043.741750002</v>
      </c>
      <c r="J14" s="71"/>
    </row>
    <row r="15" spans="1:10" s="2" customFormat="1" ht="21" customHeight="1">
      <c r="A15" s="64" t="s">
        <v>56</v>
      </c>
      <c r="B15" s="65">
        <f>SUMIF('Cost Planner'!$A:$A,A15,'Cost Planner'!$I:$I)</f>
        <v>152000</v>
      </c>
      <c r="C15" s="66">
        <f>B15*'Start Here'!$B$13</f>
        <v>12616000</v>
      </c>
      <c r="D15" s="51">
        <f t="shared" si="0"/>
        <v>0.36153289949385392</v>
      </c>
      <c r="E15" s="67" t="str">
        <f t="shared" si="1"/>
        <v>███████████</v>
      </c>
      <c r="F15" s="62"/>
      <c r="G15" s="68" t="s">
        <v>57</v>
      </c>
      <c r="H15" s="69">
        <f>'Cloud vs On-Prem'!G16</f>
        <v>1205488.8509440001</v>
      </c>
      <c r="I15" s="70">
        <f>H15*'Start Here'!$B$13</f>
        <v>100055574.628352</v>
      </c>
      <c r="J15" s="71"/>
    </row>
    <row r="16" spans="1:10" s="2" customFormat="1" ht="21" customHeight="1">
      <c r="A16" s="64" t="s">
        <v>58</v>
      </c>
      <c r="B16" s="65">
        <f>SUMIF('Cost Planner'!$A:$A,A16,'Cost Planner'!$I:$I)</f>
        <v>34000</v>
      </c>
      <c r="C16" s="66">
        <f>B16*'Start Here'!$B$13</f>
        <v>2822000</v>
      </c>
      <c r="D16" s="51">
        <f t="shared" si="0"/>
        <v>8.0869201202572585E-2</v>
      </c>
      <c r="E16" s="67" t="str">
        <f t="shared" si="1"/>
        <v>██</v>
      </c>
      <c r="F16" s="62"/>
      <c r="G16" s="68" t="s">
        <v>59</v>
      </c>
      <c r="H16" s="69">
        <f>H15-H14</f>
        <v>564223.26369400008</v>
      </c>
      <c r="I16" s="70">
        <f>I15-I14</f>
        <v>46830530.886601999</v>
      </c>
      <c r="J16" s="72" t="str">
        <f>IF(H16&gt;0,"Cloud lower by "&amp;TEXT(H16,"$#,##0"),"Cloud higher by "&amp;TEXT(ABS(H16),"$#,##0"))</f>
        <v>Cloud lower by $564,223</v>
      </c>
    </row>
    <row r="17" spans="1:10" s="2" customFormat="1" ht="21" customHeight="1">
      <c r="A17" s="64" t="s">
        <v>60</v>
      </c>
      <c r="B17" s="65">
        <f>SUMIF('Cost Planner'!$A:$A,A17,'Cost Planner'!$I:$I)</f>
        <v>23900</v>
      </c>
      <c r="C17" s="66">
        <f>B17*'Start Here'!$B$13</f>
        <v>1983700</v>
      </c>
      <c r="D17" s="51">
        <f t="shared" si="0"/>
        <v>5.6846291433573087E-2</v>
      </c>
      <c r="E17" s="67" t="str">
        <f t="shared" si="1"/>
        <v>██</v>
      </c>
      <c r="F17" s="62"/>
      <c r="G17" s="62"/>
      <c r="H17" s="62"/>
      <c r="I17" s="62"/>
      <c r="J17" s="73"/>
    </row>
    <row r="18" spans="1:10" s="2" customFormat="1" ht="21" customHeight="1">
      <c r="A18" s="64" t="s">
        <v>61</v>
      </c>
      <c r="B18" s="65">
        <f>SUMIF('Cost Planner'!$A:$A,A18,'Cost Planner'!$I:$I)</f>
        <v>20500</v>
      </c>
      <c r="C18" s="66">
        <f>B18*'Start Here'!$B$13</f>
        <v>1701500</v>
      </c>
      <c r="D18" s="51">
        <f t="shared" si="0"/>
        <v>4.8759371313315827E-2</v>
      </c>
      <c r="E18" s="67" t="str">
        <f t="shared" si="1"/>
        <v>█</v>
      </c>
      <c r="F18" s="62"/>
      <c r="G18" s="62"/>
      <c r="H18" s="62"/>
      <c r="I18" s="62"/>
      <c r="J18" s="73"/>
    </row>
    <row r="19" spans="1:10" s="2" customFormat="1" ht="21" customHeight="1">
      <c r="A19" s="64" t="s">
        <v>62</v>
      </c>
      <c r="B19" s="65">
        <f>SUMIF('Cost Planner'!$A:$A,A19,'Cost Planner'!$I:$I)</f>
        <v>27000</v>
      </c>
      <c r="C19" s="66">
        <f>B19*'Start Here'!$B$13</f>
        <v>2241000</v>
      </c>
      <c r="D19" s="51">
        <f t="shared" si="0"/>
        <v>6.421965977851353E-2</v>
      </c>
      <c r="E19" s="67" t="str">
        <f t="shared" si="1"/>
        <v>██</v>
      </c>
      <c r="F19" s="62"/>
      <c r="G19" s="62"/>
      <c r="H19" s="62"/>
      <c r="I19" s="62"/>
      <c r="J19" s="73"/>
    </row>
    <row r="20" spans="1:10" s="2" customFormat="1" ht="21" customHeight="1">
      <c r="A20" s="64" t="s">
        <v>63</v>
      </c>
      <c r="B20" s="65">
        <f>SUMIF('Cost Planner'!$A:$A,A20,'Cost Planner'!$I:$I)</f>
        <v>35000</v>
      </c>
      <c r="C20" s="66">
        <f>B20*'Start Here'!$B$13</f>
        <v>2905000</v>
      </c>
      <c r="D20" s="51">
        <f t="shared" si="0"/>
        <v>8.3247707120295319E-2</v>
      </c>
      <c r="E20" s="67" t="str">
        <f t="shared" si="1"/>
        <v>██</v>
      </c>
      <c r="F20" s="62"/>
      <c r="G20" s="62"/>
      <c r="H20" s="62"/>
      <c r="I20" s="62"/>
      <c r="J20" s="73"/>
    </row>
    <row r="21" spans="1:10" s="2" customFormat="1" ht="21" customHeight="1">
      <c r="A21" s="64" t="s">
        <v>35</v>
      </c>
      <c r="B21" s="65">
        <f>SUMIF('Cost Planner'!$A:$A,A21,'Cost Planner'!$I:$I)</f>
        <v>70072</v>
      </c>
      <c r="C21" s="66">
        <f>B21*'Start Here'!$B$13</f>
        <v>5815976</v>
      </c>
      <c r="D21" s="51">
        <f t="shared" si="0"/>
        <v>0.16666666666666666</v>
      </c>
      <c r="E21" s="67" t="str">
        <f t="shared" si="1"/>
        <v>█████</v>
      </c>
      <c r="F21" s="62"/>
      <c r="G21" s="62"/>
      <c r="H21" s="62"/>
      <c r="I21" s="62"/>
      <c r="J21" s="73"/>
    </row>
    <row r="22" spans="1:10" ht="21" customHeight="1">
      <c r="A22" s="41"/>
      <c r="B22" s="42"/>
      <c r="C22" s="42"/>
      <c r="D22" s="42"/>
      <c r="E22" s="42"/>
      <c r="F22" s="42"/>
      <c r="G22" s="42"/>
      <c r="H22" s="42"/>
      <c r="I22" s="42"/>
      <c r="J22" s="43"/>
    </row>
    <row r="23" spans="1:10" ht="21" customHeight="1">
      <c r="A23" s="41"/>
      <c r="B23" s="42"/>
      <c r="C23" s="42"/>
      <c r="D23" s="42"/>
      <c r="E23" s="42"/>
      <c r="F23" s="42"/>
      <c r="G23" s="42"/>
      <c r="H23" s="42"/>
      <c r="I23" s="42"/>
      <c r="J23" s="43"/>
    </row>
    <row r="24" spans="1:10" ht="21" customHeight="1">
      <c r="A24" s="41"/>
      <c r="B24" s="42"/>
      <c r="C24" s="42"/>
      <c r="D24" s="42"/>
      <c r="E24" s="42"/>
      <c r="F24" s="42"/>
      <c r="G24" s="42"/>
      <c r="H24" s="42"/>
      <c r="I24" s="42"/>
      <c r="J24" s="43"/>
    </row>
    <row r="25" spans="1:10" ht="21" customHeight="1">
      <c r="A25" s="41"/>
      <c r="B25" s="42"/>
      <c r="C25" s="42"/>
      <c r="D25" s="42"/>
      <c r="E25" s="42"/>
      <c r="F25" s="42"/>
      <c r="G25" s="42"/>
      <c r="H25" s="42"/>
      <c r="I25" s="42"/>
      <c r="J25" s="43"/>
    </row>
    <row r="26" spans="1:10" ht="21" customHeight="1">
      <c r="A26" s="41"/>
      <c r="B26" s="42"/>
      <c r="C26" s="42"/>
      <c r="D26" s="42"/>
      <c r="E26" s="42"/>
      <c r="F26" s="42"/>
      <c r="G26" s="42"/>
      <c r="H26" s="42"/>
      <c r="I26" s="42"/>
      <c r="J26" s="43"/>
    </row>
    <row r="27" spans="1:10" ht="21" customHeight="1">
      <c r="A27" s="41"/>
      <c r="B27" s="42"/>
      <c r="C27" s="42"/>
      <c r="D27" s="42"/>
      <c r="E27" s="42"/>
      <c r="F27" s="42"/>
      <c r="G27" s="42"/>
      <c r="H27" s="42"/>
      <c r="I27" s="42"/>
      <c r="J27" s="43"/>
    </row>
    <row r="28" spans="1:10" ht="21" customHeight="1">
      <c r="A28" s="41"/>
      <c r="B28" s="42"/>
      <c r="C28" s="42"/>
      <c r="D28" s="42"/>
      <c r="E28" s="42"/>
      <c r="F28" s="42"/>
      <c r="G28" s="42"/>
      <c r="H28" s="42"/>
      <c r="I28" s="42"/>
      <c r="J28" s="43"/>
    </row>
    <row r="29" spans="1:10" ht="21" customHeight="1">
      <c r="A29" s="41"/>
      <c r="B29" s="42"/>
      <c r="C29" s="42"/>
      <c r="D29" s="42"/>
      <c r="E29" s="42"/>
      <c r="F29" s="42"/>
      <c r="G29" s="42"/>
      <c r="H29" s="42"/>
      <c r="I29" s="42"/>
      <c r="J29" s="43"/>
    </row>
    <row r="30" spans="1:10" ht="21" customHeight="1">
      <c r="A30" s="41"/>
      <c r="B30" s="42"/>
      <c r="C30" s="42"/>
      <c r="D30" s="42"/>
      <c r="E30" s="42"/>
      <c r="F30" s="42"/>
      <c r="G30" s="42"/>
      <c r="H30" s="42"/>
      <c r="I30" s="42"/>
      <c r="J30" s="43"/>
    </row>
    <row r="31" spans="1:10" ht="21" customHeight="1">
      <c r="A31" s="41"/>
      <c r="B31" s="42"/>
      <c r="C31" s="42"/>
      <c r="D31" s="42"/>
      <c r="E31" s="42"/>
      <c r="F31" s="42"/>
      <c r="G31" s="42"/>
      <c r="H31" s="42"/>
      <c r="I31" s="42"/>
      <c r="J31" s="43"/>
    </row>
    <row r="32" spans="1:10" ht="21" customHeight="1">
      <c r="A32" s="41"/>
      <c r="B32" s="42"/>
      <c r="C32" s="42"/>
      <c r="D32" s="42"/>
      <c r="E32" s="42"/>
      <c r="F32" s="42"/>
      <c r="G32" s="42"/>
      <c r="H32" s="42"/>
      <c r="I32" s="42"/>
      <c r="J32" s="43"/>
    </row>
    <row r="33" spans="1:10" ht="21" customHeight="1">
      <c r="A33" s="41"/>
      <c r="B33" s="42"/>
      <c r="C33" s="42"/>
      <c r="D33" s="42"/>
      <c r="E33" s="42"/>
      <c r="F33" s="42"/>
      <c r="G33" s="42"/>
      <c r="H33" s="42"/>
      <c r="I33" s="42"/>
      <c r="J33" s="43"/>
    </row>
    <row r="34" spans="1:10" ht="21" customHeight="1">
      <c r="A34" s="74"/>
      <c r="B34" s="75"/>
      <c r="C34" s="75"/>
      <c r="D34" s="75"/>
      <c r="E34" s="75"/>
      <c r="F34" s="75"/>
      <c r="G34" s="75"/>
      <c r="H34" s="75"/>
      <c r="I34" s="75"/>
      <c r="J34" s="76"/>
    </row>
  </sheetData>
  <mergeCells count="3">
    <mergeCell ref="A1:J1"/>
    <mergeCell ref="A4:B4"/>
    <mergeCell ref="A6:J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workbookViewId="0">
      <selection activeCell="B8" sqref="B8"/>
    </sheetView>
  </sheetViews>
  <sheetFormatPr defaultRowHeight="21.75" customHeight="1"/>
  <cols>
    <col min="1" max="1" width="24" style="1" customWidth="1"/>
    <col min="2" max="2" width="38" style="1" customWidth="1"/>
    <col min="3" max="3" width="9" style="5" customWidth="1"/>
    <col min="4" max="4" width="14" style="5" customWidth="1"/>
    <col min="5" max="6" width="15" style="5" customWidth="1"/>
    <col min="7" max="7" width="12" style="5" customWidth="1"/>
    <col min="8" max="8" width="13" style="5" customWidth="1"/>
    <col min="9" max="10" width="16" style="5" customWidth="1"/>
    <col min="11" max="11" width="42" style="1" customWidth="1"/>
    <col min="12" max="16384" width="9" style="1"/>
  </cols>
  <sheetData>
    <row r="1" spans="1:11" ht="39.75" customHeight="1">
      <c r="A1" s="77" t="s">
        <v>64</v>
      </c>
      <c r="B1" s="78"/>
      <c r="C1" s="78"/>
      <c r="D1" s="78"/>
      <c r="E1" s="78"/>
      <c r="F1" s="78"/>
      <c r="G1" s="78"/>
      <c r="H1" s="78"/>
      <c r="I1" s="78"/>
      <c r="J1" s="78"/>
      <c r="K1" s="79"/>
    </row>
    <row r="2" spans="1:11" ht="21.75" customHeight="1">
      <c r="A2" s="41"/>
      <c r="B2" s="42"/>
      <c r="C2" s="80"/>
      <c r="D2" s="80"/>
      <c r="E2" s="80"/>
      <c r="F2" s="80"/>
      <c r="G2" s="80"/>
      <c r="H2" s="80"/>
      <c r="I2" s="80"/>
      <c r="J2" s="80"/>
      <c r="K2" s="43"/>
    </row>
    <row r="3" spans="1:11" s="2" customFormat="1" ht="27" customHeight="1">
      <c r="A3" s="60" t="s">
        <v>47</v>
      </c>
      <c r="B3" s="61" t="s">
        <v>65</v>
      </c>
      <c r="C3" s="61" t="s">
        <v>66</v>
      </c>
      <c r="D3" s="61" t="s">
        <v>67</v>
      </c>
      <c r="E3" s="61" t="s">
        <v>68</v>
      </c>
      <c r="F3" s="61" t="s">
        <v>69</v>
      </c>
      <c r="G3" s="61" t="s">
        <v>70</v>
      </c>
      <c r="H3" s="61" t="s">
        <v>71</v>
      </c>
      <c r="I3" s="61" t="s">
        <v>72</v>
      </c>
      <c r="J3" s="61" t="s">
        <v>73</v>
      </c>
      <c r="K3" s="63" t="s">
        <v>74</v>
      </c>
    </row>
    <row r="4" spans="1:11" s="2" customFormat="1" ht="21.75" customHeight="1">
      <c r="A4" s="81" t="s">
        <v>54</v>
      </c>
      <c r="B4" s="82" t="s">
        <v>75</v>
      </c>
      <c r="C4" s="83">
        <v>30</v>
      </c>
      <c r="D4" s="84" t="s">
        <v>76</v>
      </c>
      <c r="E4" s="69">
        <v>80</v>
      </c>
      <c r="F4" s="70">
        <f>IF(E4="","",E4*'Start Here'!$B$13)</f>
        <v>6640</v>
      </c>
      <c r="G4" s="84" t="s">
        <v>48</v>
      </c>
      <c r="H4" s="84" t="s">
        <v>77</v>
      </c>
      <c r="I4" s="85">
        <f>IF(G4="USD", IF(H4="Monthly",C4*E4*12,IF(H4="Hours",C4*E4,C4*E4)), IF(G4="INR",IF(H4="Monthly",C4*F4*12/'Start Here'!$B$13,IF(H4="Hours",C4*F4/'Start Here'!$B$13,C4*F4/'Start Here'!$B$13)),0))</f>
        <v>28800</v>
      </c>
      <c r="J4" s="86">
        <f>I4*'Start Here'!$B$13</f>
        <v>2390400</v>
      </c>
      <c r="K4" s="71" t="s">
        <v>78</v>
      </c>
    </row>
    <row r="5" spans="1:11" s="2" customFormat="1" ht="21.75" customHeight="1">
      <c r="A5" s="81" t="s">
        <v>54</v>
      </c>
      <c r="B5" s="82" t="s">
        <v>79</v>
      </c>
      <c r="C5" s="83">
        <v>10</v>
      </c>
      <c r="D5" s="84" t="s">
        <v>76</v>
      </c>
      <c r="E5" s="69">
        <v>110</v>
      </c>
      <c r="F5" s="70">
        <f>IF(E5="","",E5*'Start Here'!$B$13)</f>
        <v>9130</v>
      </c>
      <c r="G5" s="84" t="s">
        <v>48</v>
      </c>
      <c r="H5" s="84" t="s">
        <v>77</v>
      </c>
      <c r="I5" s="85">
        <f>IF(G5="USD", IF(H5="Monthly",C5*E5*12,IF(H5="Hours",C5*E5,C5*E5)), IF(G5="INR",IF(H5="Monthly",C5*F5*12/'Start Here'!$B$13,IF(H5="Hours",C5*F5/'Start Here'!$B$13,C5*F5/'Start Here'!$B$13)),0))</f>
        <v>13200</v>
      </c>
      <c r="J5" s="86">
        <f>I5*'Start Here'!$B$13</f>
        <v>1095600</v>
      </c>
      <c r="K5" s="71" t="s">
        <v>80</v>
      </c>
    </row>
    <row r="6" spans="1:11" s="2" customFormat="1" ht="21.75" customHeight="1">
      <c r="A6" s="81" t="s">
        <v>54</v>
      </c>
      <c r="B6" s="82" t="s">
        <v>81</v>
      </c>
      <c r="C6" s="83">
        <v>10</v>
      </c>
      <c r="D6" s="84" t="s">
        <v>76</v>
      </c>
      <c r="E6" s="69">
        <v>8</v>
      </c>
      <c r="F6" s="70">
        <f>IF(E6="","",E6*'Start Here'!$B$13)</f>
        <v>664</v>
      </c>
      <c r="G6" s="84" t="s">
        <v>48</v>
      </c>
      <c r="H6" s="84" t="s">
        <v>77</v>
      </c>
      <c r="I6" s="85">
        <f>IF(G6="USD", IF(H6="Monthly",C6*E6*12,IF(H6="Hours",C6*E6,C6*E6)), IF(G6="INR",IF(H6="Monthly",C6*F6*12/'Start Here'!$B$13,IF(H6="Hours",C6*F6/'Start Here'!$B$13,C6*F6/'Start Here'!$B$13)),0))</f>
        <v>960</v>
      </c>
      <c r="J6" s="86">
        <f>I6*'Start Here'!$B$13</f>
        <v>79680</v>
      </c>
      <c r="K6" s="71" t="s">
        <v>82</v>
      </c>
    </row>
    <row r="7" spans="1:11" s="2" customFormat="1" ht="21.75" customHeight="1">
      <c r="A7" s="81" t="s">
        <v>54</v>
      </c>
      <c r="B7" s="82" t="s">
        <v>83</v>
      </c>
      <c r="C7" s="83">
        <v>1</v>
      </c>
      <c r="D7" s="84" t="s">
        <v>84</v>
      </c>
      <c r="E7" s="69">
        <v>1000</v>
      </c>
      <c r="F7" s="70">
        <f>IF(E7="","",E7*'Start Here'!$B$13)</f>
        <v>83000</v>
      </c>
      <c r="G7" s="84" t="s">
        <v>48</v>
      </c>
      <c r="H7" s="84" t="s">
        <v>77</v>
      </c>
      <c r="I7" s="85">
        <f>IF(G7="USD", IF(H7="Monthly",C7*E7*12,IF(H7="Hours",C7*E7,C7*E7)), IF(G7="INR",IF(H7="Monthly",C7*F7*12/'Start Here'!$B$13,IF(H7="Hours",C7*F7/'Start Here'!$B$13,C7*F7/'Start Here'!$B$13)),0))</f>
        <v>12000</v>
      </c>
      <c r="J7" s="86">
        <f>I7*'Start Here'!$B$13</f>
        <v>996000</v>
      </c>
      <c r="K7" s="71" t="s">
        <v>85</v>
      </c>
    </row>
    <row r="8" spans="1:11" s="2" customFormat="1" ht="21.75" customHeight="1">
      <c r="A8" s="81" t="s">
        <v>54</v>
      </c>
      <c r="B8" s="82" t="s">
        <v>86</v>
      </c>
      <c r="C8" s="83">
        <v>1</v>
      </c>
      <c r="D8" s="84" t="s">
        <v>84</v>
      </c>
      <c r="E8" s="69">
        <v>250</v>
      </c>
      <c r="F8" s="70">
        <f>IF(E8="","",E8*'Start Here'!$B$13)</f>
        <v>20750</v>
      </c>
      <c r="G8" s="84" t="s">
        <v>48</v>
      </c>
      <c r="H8" s="84" t="s">
        <v>77</v>
      </c>
      <c r="I8" s="85">
        <f>IF(G8="USD", IF(H8="Monthly",C8*E8*12,IF(H8="Hours",C8*E8,C8*E8)), IF(G8="INR",IF(H8="Monthly",C8*F8*12/'Start Here'!$B$13,IF(H8="Hours",C8*F8/'Start Here'!$B$13,C8*F8/'Start Here'!$B$13)),0))</f>
        <v>3000</v>
      </c>
      <c r="J8" s="86">
        <f>I8*'Start Here'!$B$13</f>
        <v>249000</v>
      </c>
      <c r="K8" s="71" t="s">
        <v>87</v>
      </c>
    </row>
    <row r="9" spans="1:11" s="2" customFormat="1" ht="21.75" customHeight="1">
      <c r="A9" s="81" t="s">
        <v>56</v>
      </c>
      <c r="B9" s="82" t="s">
        <v>88</v>
      </c>
      <c r="C9" s="83">
        <v>800</v>
      </c>
      <c r="D9" s="84" t="s">
        <v>89</v>
      </c>
      <c r="E9" s="69">
        <v>175</v>
      </c>
      <c r="F9" s="70">
        <f>IF(E9="","",E9*'Start Here'!$B$13)</f>
        <v>14525</v>
      </c>
      <c r="G9" s="84" t="s">
        <v>48</v>
      </c>
      <c r="H9" s="84" t="s">
        <v>90</v>
      </c>
      <c r="I9" s="85">
        <f>IF(G9="USD", IF(H9="Monthly",C9*E9*12,IF(H9="Hours",C9*E9,C9*E9)), IF(G9="INR",IF(H9="Monthly",C9*F9*12/'Start Here'!$B$13,IF(H9="Hours",C9*F9/'Start Here'!$B$13,C9*F9/'Start Here'!$B$13)),0))</f>
        <v>140000</v>
      </c>
      <c r="J9" s="86">
        <f>I9*'Start Here'!$B$13</f>
        <v>11620000</v>
      </c>
      <c r="K9" s="71" t="s">
        <v>91</v>
      </c>
    </row>
    <row r="10" spans="1:11" s="2" customFormat="1" ht="21.75" customHeight="1">
      <c r="A10" s="81" t="s">
        <v>56</v>
      </c>
      <c r="B10" s="82" t="s">
        <v>92</v>
      </c>
      <c r="C10" s="83">
        <v>1</v>
      </c>
      <c r="D10" s="84" t="s">
        <v>93</v>
      </c>
      <c r="E10" s="69">
        <v>12000</v>
      </c>
      <c r="F10" s="70">
        <f>IF(E10="","",E10*'Start Here'!$B$13)</f>
        <v>996000</v>
      </c>
      <c r="G10" s="84" t="s">
        <v>48</v>
      </c>
      <c r="H10" s="84" t="s">
        <v>94</v>
      </c>
      <c r="I10" s="85">
        <f>IF(G10="USD", IF(H10="Monthly",C10*E10*12,IF(H10="Hours",C10*E10,C10*E10)), IF(G10="INR",IF(H10="Monthly",C10*F10*12/'Start Here'!$B$13,IF(H10="Hours",C10*F10/'Start Here'!$B$13,C10*F10/'Start Here'!$B$13)),0))</f>
        <v>12000</v>
      </c>
      <c r="J10" s="86">
        <f>I10*'Start Here'!$B$13</f>
        <v>996000</v>
      </c>
      <c r="K10" s="71" t="s">
        <v>95</v>
      </c>
    </row>
    <row r="11" spans="1:11" s="2" customFormat="1" ht="21.75" customHeight="1">
      <c r="A11" s="81" t="s">
        <v>58</v>
      </c>
      <c r="B11" s="82" t="s">
        <v>96</v>
      </c>
      <c r="C11" s="83">
        <v>1</v>
      </c>
      <c r="D11" s="84" t="s">
        <v>93</v>
      </c>
      <c r="E11" s="69">
        <v>18000</v>
      </c>
      <c r="F11" s="70">
        <f>IF(E11="","",E11*'Start Here'!$B$13)</f>
        <v>1494000</v>
      </c>
      <c r="G11" s="84" t="s">
        <v>48</v>
      </c>
      <c r="H11" s="84" t="s">
        <v>94</v>
      </c>
      <c r="I11" s="85">
        <f>IF(G11="USD", IF(H11="Monthly",C11*E11*12,IF(H11="Hours",C11*E11,C11*E11)), IF(G11="INR",IF(H11="Monthly",C11*F11*12/'Start Here'!$B$13,IF(H11="Hours",C11*F11/'Start Here'!$B$13,C11*F11/'Start Here'!$B$13)),0))</f>
        <v>18000</v>
      </c>
      <c r="J11" s="86">
        <f>I11*'Start Here'!$B$13</f>
        <v>1494000</v>
      </c>
      <c r="K11" s="71" t="s">
        <v>97</v>
      </c>
    </row>
    <row r="12" spans="1:11" s="2" customFormat="1" ht="21.75" customHeight="1">
      <c r="A12" s="81" t="s">
        <v>58</v>
      </c>
      <c r="B12" s="82" t="s">
        <v>98</v>
      </c>
      <c r="C12" s="83">
        <v>2</v>
      </c>
      <c r="D12" s="84" t="s">
        <v>99</v>
      </c>
      <c r="E12" s="69">
        <v>8000</v>
      </c>
      <c r="F12" s="70">
        <f>IF(E12="","",E12*'Start Here'!$B$13)</f>
        <v>664000</v>
      </c>
      <c r="G12" s="84" t="s">
        <v>48</v>
      </c>
      <c r="H12" s="84" t="s">
        <v>94</v>
      </c>
      <c r="I12" s="85">
        <f>IF(G12="USD", IF(H12="Monthly",C12*E12*12,IF(H12="Hours",C12*E12,C12*E12)), IF(G12="INR",IF(H12="Monthly",C12*F12*12/'Start Here'!$B$13,IF(H12="Hours",C12*F12/'Start Here'!$B$13,C12*F12/'Start Here'!$B$13)),0))</f>
        <v>16000</v>
      </c>
      <c r="J12" s="86">
        <f>I12*'Start Here'!$B$13</f>
        <v>1328000</v>
      </c>
      <c r="K12" s="71" t="s">
        <v>100</v>
      </c>
    </row>
    <row r="13" spans="1:11" s="2" customFormat="1" ht="21.75" customHeight="1">
      <c r="A13" s="81" t="s">
        <v>60</v>
      </c>
      <c r="B13" s="82" t="s">
        <v>101</v>
      </c>
      <c r="C13" s="83">
        <v>240</v>
      </c>
      <c r="D13" s="84" t="s">
        <v>89</v>
      </c>
      <c r="E13" s="69">
        <v>45</v>
      </c>
      <c r="F13" s="70">
        <f>IF(E13="","",E13*'Start Here'!$B$13)</f>
        <v>3735</v>
      </c>
      <c r="G13" s="84" t="s">
        <v>48</v>
      </c>
      <c r="H13" s="84" t="s">
        <v>90</v>
      </c>
      <c r="I13" s="85">
        <f>IF(G13="USD", IF(H13="Monthly",C13*E13*12,IF(H13="Hours",C13*E13,C13*E13)), IF(G13="INR",IF(H13="Monthly",C13*F13*12/'Start Here'!$B$13,IF(H13="Hours",C13*F13/'Start Here'!$B$13,C13*F13/'Start Here'!$B$13)),0))</f>
        <v>10800</v>
      </c>
      <c r="J13" s="86">
        <f>I13*'Start Here'!$B$13</f>
        <v>896400</v>
      </c>
      <c r="K13" s="71" t="s">
        <v>102</v>
      </c>
    </row>
    <row r="14" spans="1:11" s="2" customFormat="1" ht="21.75" customHeight="1">
      <c r="A14" s="81" t="s">
        <v>60</v>
      </c>
      <c r="B14" s="82" t="s">
        <v>103</v>
      </c>
      <c r="C14" s="83">
        <v>180</v>
      </c>
      <c r="D14" s="84" t="s">
        <v>89</v>
      </c>
      <c r="E14" s="69">
        <v>55</v>
      </c>
      <c r="F14" s="70">
        <f>IF(E14="","",E14*'Start Here'!$B$13)</f>
        <v>4565</v>
      </c>
      <c r="G14" s="84" t="s">
        <v>48</v>
      </c>
      <c r="H14" s="84" t="s">
        <v>90</v>
      </c>
      <c r="I14" s="85">
        <f>IF(G14="USD", IF(H14="Monthly",C14*E14*12,IF(H14="Hours",C14*E14,C14*E14)), IF(G14="INR",IF(H14="Monthly",C14*F14*12/'Start Here'!$B$13,IF(H14="Hours",C14*F14/'Start Here'!$B$13,C14*F14/'Start Here'!$B$13)),0))</f>
        <v>9900</v>
      </c>
      <c r="J14" s="86">
        <f>I14*'Start Here'!$B$13</f>
        <v>821700</v>
      </c>
      <c r="K14" s="71" t="s">
        <v>104</v>
      </c>
    </row>
    <row r="15" spans="1:11" s="2" customFormat="1" ht="21.75" customHeight="1">
      <c r="A15" s="81" t="s">
        <v>60</v>
      </c>
      <c r="B15" s="82" t="s">
        <v>105</v>
      </c>
      <c r="C15" s="83">
        <v>40</v>
      </c>
      <c r="D15" s="84" t="s">
        <v>89</v>
      </c>
      <c r="E15" s="69">
        <v>80</v>
      </c>
      <c r="F15" s="70">
        <f>IF(E15="","",E15*'Start Here'!$B$13)</f>
        <v>6640</v>
      </c>
      <c r="G15" s="84" t="s">
        <v>48</v>
      </c>
      <c r="H15" s="84" t="s">
        <v>90</v>
      </c>
      <c r="I15" s="85">
        <f>IF(G15="USD", IF(H15="Monthly",C15*E15*12,IF(H15="Hours",C15*E15,C15*E15)), IF(G15="INR",IF(H15="Monthly",C15*F15*12/'Start Here'!$B$13,IF(H15="Hours",C15*F15/'Start Here'!$B$13,C15*F15/'Start Here'!$B$13)),0))</f>
        <v>3200</v>
      </c>
      <c r="J15" s="86">
        <f>I15*'Start Here'!$B$13</f>
        <v>265600</v>
      </c>
      <c r="K15" s="71" t="s">
        <v>106</v>
      </c>
    </row>
    <row r="16" spans="1:11" s="2" customFormat="1" ht="21.75" customHeight="1">
      <c r="A16" s="81" t="s">
        <v>61</v>
      </c>
      <c r="B16" s="82" t="s">
        <v>107</v>
      </c>
      <c r="C16" s="83">
        <v>50</v>
      </c>
      <c r="D16" s="84" t="s">
        <v>108</v>
      </c>
      <c r="E16" s="69">
        <v>250</v>
      </c>
      <c r="F16" s="70">
        <f>IF(E16="","",E16*'Start Here'!$B$13)</f>
        <v>20750</v>
      </c>
      <c r="G16" s="84" t="s">
        <v>48</v>
      </c>
      <c r="H16" s="84" t="s">
        <v>94</v>
      </c>
      <c r="I16" s="85">
        <f>IF(G16="USD", IF(H16="Monthly",C16*E16*12,IF(H16="Hours",C16*E16,C16*E16)), IF(G16="INR",IF(H16="Monthly",C16*F16*12/'Start Here'!$B$13,IF(H16="Hours",C16*F16/'Start Here'!$B$13,C16*F16/'Start Here'!$B$13)),0))</f>
        <v>12500</v>
      </c>
      <c r="J16" s="86">
        <f>I16*'Start Here'!$B$13</f>
        <v>1037500</v>
      </c>
      <c r="K16" s="71" t="s">
        <v>109</v>
      </c>
    </row>
    <row r="17" spans="1:11" s="2" customFormat="1" ht="21.75" customHeight="1">
      <c r="A17" s="81" t="s">
        <v>61</v>
      </c>
      <c r="B17" s="82" t="s">
        <v>110</v>
      </c>
      <c r="C17" s="83">
        <v>1</v>
      </c>
      <c r="D17" s="84" t="s">
        <v>93</v>
      </c>
      <c r="E17" s="69">
        <v>8000</v>
      </c>
      <c r="F17" s="70">
        <f>IF(E17="","",E17*'Start Here'!$B$13)</f>
        <v>664000</v>
      </c>
      <c r="G17" s="84" t="s">
        <v>48</v>
      </c>
      <c r="H17" s="84" t="s">
        <v>94</v>
      </c>
      <c r="I17" s="85">
        <f>IF(G17="USD", IF(H17="Monthly",C17*E17*12,IF(H17="Hours",C17*E17,C17*E17)), IF(G17="INR",IF(H17="Monthly",C17*F17*12/'Start Here'!$B$13,IF(H17="Hours",C17*F17/'Start Here'!$B$13,C17*F17/'Start Here'!$B$13)),0))</f>
        <v>8000</v>
      </c>
      <c r="J17" s="86">
        <f>I17*'Start Here'!$B$13</f>
        <v>664000</v>
      </c>
      <c r="K17" s="71" t="s">
        <v>111</v>
      </c>
    </row>
    <row r="18" spans="1:11" s="2" customFormat="1" ht="21.75" customHeight="1">
      <c r="A18" s="81" t="s">
        <v>62</v>
      </c>
      <c r="B18" s="82" t="s">
        <v>112</v>
      </c>
      <c r="C18" s="83">
        <v>1</v>
      </c>
      <c r="D18" s="84" t="s">
        <v>93</v>
      </c>
      <c r="E18" s="69">
        <v>15000</v>
      </c>
      <c r="F18" s="70">
        <f>IF(E18="","",E18*'Start Here'!$B$13)</f>
        <v>1245000</v>
      </c>
      <c r="G18" s="84" t="s">
        <v>48</v>
      </c>
      <c r="H18" s="84" t="s">
        <v>94</v>
      </c>
      <c r="I18" s="85">
        <f>IF(G18="USD", IF(H18="Monthly",C18*E18*12,IF(H18="Hours",C18*E18,C18*E18)), IF(G18="INR",IF(H18="Monthly",C18*F18*12/'Start Here'!$B$13,IF(H18="Hours",C18*F18/'Start Here'!$B$13,C18*F18/'Start Here'!$B$13)),0))</f>
        <v>15000</v>
      </c>
      <c r="J18" s="86">
        <f>I18*'Start Here'!$B$13</f>
        <v>1245000</v>
      </c>
      <c r="K18" s="71" t="s">
        <v>113</v>
      </c>
    </row>
    <row r="19" spans="1:11" s="2" customFormat="1" ht="21.75" customHeight="1">
      <c r="A19" s="81" t="s">
        <v>62</v>
      </c>
      <c r="B19" s="82" t="s">
        <v>114</v>
      </c>
      <c r="C19" s="83">
        <v>1</v>
      </c>
      <c r="D19" s="84" t="s">
        <v>93</v>
      </c>
      <c r="E19" s="69">
        <v>12000</v>
      </c>
      <c r="F19" s="70">
        <f>IF(E19="","",E19*'Start Here'!$B$13)</f>
        <v>996000</v>
      </c>
      <c r="G19" s="84" t="s">
        <v>48</v>
      </c>
      <c r="H19" s="84" t="s">
        <v>94</v>
      </c>
      <c r="I19" s="85">
        <f>IF(G19="USD", IF(H19="Monthly",C19*E19*12,IF(H19="Hours",C19*E19,C19*E19)), IF(G19="INR",IF(H19="Monthly",C19*F19*12/'Start Here'!$B$13,IF(H19="Hours",C19*F19/'Start Here'!$B$13,C19*F19/'Start Here'!$B$13)),0))</f>
        <v>12000</v>
      </c>
      <c r="J19" s="86">
        <f>I19*'Start Here'!$B$13</f>
        <v>996000</v>
      </c>
      <c r="K19" s="71" t="s">
        <v>115</v>
      </c>
    </row>
    <row r="20" spans="1:11" s="2" customFormat="1" ht="21.75" customHeight="1">
      <c r="A20" s="81" t="s">
        <v>63</v>
      </c>
      <c r="B20" s="82" t="s">
        <v>116</v>
      </c>
      <c r="C20" s="83">
        <v>1</v>
      </c>
      <c r="D20" s="84" t="s">
        <v>93</v>
      </c>
      <c r="E20" s="69">
        <v>20000</v>
      </c>
      <c r="F20" s="70">
        <f>IF(E20="","",E20*'Start Here'!$B$13)</f>
        <v>1660000</v>
      </c>
      <c r="G20" s="84" t="s">
        <v>48</v>
      </c>
      <c r="H20" s="84" t="s">
        <v>94</v>
      </c>
      <c r="I20" s="85">
        <f>IF(G20="USD", IF(H20="Monthly",C20*E20*12,IF(H20="Hours",C20*E20,C20*E20)), IF(G20="INR",IF(H20="Monthly",C20*F20*12/'Start Here'!$B$13,IF(H20="Hours",C20*F20/'Start Here'!$B$13,C20*F20/'Start Here'!$B$13)),0))</f>
        <v>20000</v>
      </c>
      <c r="J20" s="86">
        <f>I20*'Start Here'!$B$13</f>
        <v>1660000</v>
      </c>
      <c r="K20" s="71" t="s">
        <v>117</v>
      </c>
    </row>
    <row r="21" spans="1:11" s="2" customFormat="1" ht="21.75" customHeight="1">
      <c r="A21" s="81" t="s">
        <v>63</v>
      </c>
      <c r="B21" s="82" t="s">
        <v>118</v>
      </c>
      <c r="C21" s="83">
        <v>1</v>
      </c>
      <c r="D21" s="84" t="s">
        <v>93</v>
      </c>
      <c r="E21" s="69">
        <v>15000</v>
      </c>
      <c r="F21" s="70">
        <f>IF(E21="","",E21*'Start Here'!$B$13)</f>
        <v>1245000</v>
      </c>
      <c r="G21" s="84" t="s">
        <v>48</v>
      </c>
      <c r="H21" s="84" t="s">
        <v>94</v>
      </c>
      <c r="I21" s="85">
        <f>IF(G21="USD", IF(H21="Monthly",C21*E21*12,IF(H21="Hours",C21*E21,C21*E21)), IF(G21="INR",IF(H21="Monthly",C21*F21*12/'Start Here'!$B$13,IF(H21="Hours",C21*F21/'Start Here'!$B$13,C21*F21/'Start Here'!$B$13)),0))</f>
        <v>15000</v>
      </c>
      <c r="J21" s="86">
        <f>I21*'Start Here'!$B$13</f>
        <v>1245000</v>
      </c>
      <c r="K21" s="71" t="s">
        <v>119</v>
      </c>
    </row>
    <row r="22" spans="1:11" s="2" customFormat="1" ht="21.75" customHeight="1">
      <c r="A22" s="87" t="s">
        <v>35</v>
      </c>
      <c r="B22" s="88" t="s">
        <v>17</v>
      </c>
      <c r="C22" s="89"/>
      <c r="D22" s="90" t="s">
        <v>120</v>
      </c>
      <c r="E22" s="91"/>
      <c r="F22" s="92"/>
      <c r="G22" s="90" t="s">
        <v>121</v>
      </c>
      <c r="H22" s="90" t="s">
        <v>121</v>
      </c>
      <c r="I22" s="93">
        <f>SUM(I4:I21)*'Start Here'!$B$15</f>
        <v>70072</v>
      </c>
      <c r="J22" s="94">
        <f>I22*'Start Here'!$B$13</f>
        <v>5815976</v>
      </c>
      <c r="K22" s="95" t="s">
        <v>122</v>
      </c>
    </row>
  </sheetData>
  <mergeCells count="1">
    <mergeCell ref="A1:K1"/>
  </mergeCells>
  <dataValidations count="2">
    <dataValidation type="list" sqref="G4:G21" xr:uid="{00000000-0002-0000-0200-000000000000}">
      <formula1>"USD,INR"</formula1>
    </dataValidation>
    <dataValidation type="list" sqref="H4:H21" xr:uid="{00000000-0002-0000-0200-000001000000}">
      <formula1>"Monthly,Hours,One-time"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"/>
  <sheetViews>
    <sheetView workbookViewId="0">
      <selection activeCell="A6" sqref="A6"/>
    </sheetView>
  </sheetViews>
  <sheetFormatPr defaultRowHeight="22.5" customHeight="1"/>
  <cols>
    <col min="1" max="1" width="52.625" style="1" customWidth="1"/>
    <col min="2" max="2" width="15" style="5" customWidth="1"/>
    <col min="3" max="3" width="17" style="5" customWidth="1"/>
    <col min="4" max="4" width="15" style="5" customWidth="1"/>
    <col min="5" max="5" width="17" style="5" customWidth="1"/>
    <col min="6" max="6" width="23.25" style="1" customWidth="1"/>
    <col min="7" max="7" width="17" style="1" customWidth="1"/>
    <col min="8" max="8" width="30" style="1" customWidth="1"/>
    <col min="9" max="16384" width="9" style="1"/>
  </cols>
  <sheetData>
    <row r="1" spans="1:8" ht="22.5" customHeight="1">
      <c r="A1" s="77" t="s">
        <v>123</v>
      </c>
      <c r="B1" s="78"/>
      <c r="C1" s="78"/>
      <c r="D1" s="78"/>
      <c r="E1" s="78"/>
      <c r="F1" s="78"/>
      <c r="G1" s="78"/>
      <c r="H1" s="79"/>
    </row>
    <row r="2" spans="1:8" ht="22.5" customHeight="1">
      <c r="A2" s="41"/>
      <c r="B2" s="80"/>
      <c r="C2" s="80"/>
      <c r="D2" s="80"/>
      <c r="E2" s="80"/>
      <c r="F2" s="42"/>
      <c r="G2" s="42"/>
      <c r="H2" s="43"/>
    </row>
    <row r="3" spans="1:8" s="2" customFormat="1" ht="22.5" customHeight="1">
      <c r="A3" s="96" t="s">
        <v>124</v>
      </c>
      <c r="B3" s="97" t="s">
        <v>125</v>
      </c>
      <c r="C3" s="97" t="s">
        <v>126</v>
      </c>
      <c r="D3" s="97" t="s">
        <v>127</v>
      </c>
      <c r="E3" s="97" t="s">
        <v>128</v>
      </c>
      <c r="F3" s="97" t="s">
        <v>74</v>
      </c>
      <c r="G3" s="97"/>
      <c r="H3" s="98"/>
    </row>
    <row r="4" spans="1:8" s="2" customFormat="1" ht="22.5" customHeight="1">
      <c r="A4" s="56" t="s">
        <v>129</v>
      </c>
      <c r="B4" s="99">
        <v>0</v>
      </c>
      <c r="C4" s="100">
        <f>B4*'Start Here'!$B$13</f>
        <v>0</v>
      </c>
      <c r="D4" s="99">
        <v>180000</v>
      </c>
      <c r="E4" s="100">
        <f>D4*'Start Here'!$B$13</f>
        <v>14940000</v>
      </c>
      <c r="F4" s="101" t="s">
        <v>130</v>
      </c>
      <c r="G4" s="62"/>
      <c r="H4" s="73"/>
    </row>
    <row r="5" spans="1:8" s="2" customFormat="1" ht="22.5" customHeight="1">
      <c r="A5" s="56" t="s">
        <v>131</v>
      </c>
      <c r="B5" s="99">
        <f>SUMIF('Cost Planner'!A:A,"Software licensing",'Cost Planner'!I:I)</f>
        <v>57960</v>
      </c>
      <c r="C5" s="100">
        <f>B5*'Start Here'!$B$13</f>
        <v>4810680</v>
      </c>
      <c r="D5" s="99">
        <v>32400</v>
      </c>
      <c r="E5" s="100">
        <f>D5*'Start Here'!$B$13</f>
        <v>2689200</v>
      </c>
      <c r="F5" s="101" t="s">
        <v>132</v>
      </c>
      <c r="G5" s="62"/>
      <c r="H5" s="73"/>
    </row>
    <row r="6" spans="1:8" s="2" customFormat="1" ht="22.5" customHeight="1">
      <c r="A6" s="56" t="s">
        <v>133</v>
      </c>
      <c r="B6" s="99">
        <v>0</v>
      </c>
      <c r="C6" s="100">
        <f>B6*'Start Here'!$B$13</f>
        <v>0</v>
      </c>
      <c r="D6" s="99">
        <v>60000</v>
      </c>
      <c r="E6" s="100">
        <f>D6*'Start Here'!$B$13</f>
        <v>4980000</v>
      </c>
      <c r="F6" s="101" t="s">
        <v>134</v>
      </c>
      <c r="G6" s="62"/>
      <c r="H6" s="73"/>
    </row>
    <row r="7" spans="1:8" s="2" customFormat="1" ht="22.5" customHeight="1">
      <c r="A7" s="56" t="s">
        <v>135</v>
      </c>
      <c r="B7" s="99">
        <f>SUM(SUMIF('Cost Planner'!A:A,"Implementation &amp; consulting",'Cost Planner'!I:I),SUMIF('Cost Planner'!A:A,"Data &amp; integrations",'Cost Planner'!I:I))</f>
        <v>186000</v>
      </c>
      <c r="C7" s="100">
        <f>B7*'Start Here'!$B$13</f>
        <v>15438000</v>
      </c>
      <c r="D7" s="99">
        <v>175000</v>
      </c>
      <c r="E7" s="100">
        <f>D7*'Start Here'!$B$13</f>
        <v>14525000</v>
      </c>
      <c r="F7" s="101" t="s">
        <v>136</v>
      </c>
      <c r="G7" s="62"/>
      <c r="H7" s="73"/>
    </row>
    <row r="8" spans="1:8" s="2" customFormat="1" ht="22.5" customHeight="1">
      <c r="A8" s="56" t="s">
        <v>137</v>
      </c>
      <c r="B8" s="99">
        <v>12000</v>
      </c>
      <c r="C8" s="100">
        <f>B8*'Start Here'!$B$13</f>
        <v>996000</v>
      </c>
      <c r="D8" s="99">
        <v>45000</v>
      </c>
      <c r="E8" s="100">
        <f>D8*'Start Here'!$B$13</f>
        <v>3735000</v>
      </c>
      <c r="F8" s="101" t="s">
        <v>138</v>
      </c>
      <c r="G8" s="62"/>
      <c r="H8" s="73"/>
    </row>
    <row r="9" spans="1:8" s="2" customFormat="1" ht="22.5" customHeight="1">
      <c r="A9" s="56" t="s">
        <v>139</v>
      </c>
      <c r="B9" s="99">
        <v>15000</v>
      </c>
      <c r="C9" s="100">
        <f>B9*'Start Here'!$B$13</f>
        <v>1245000</v>
      </c>
      <c r="D9" s="99">
        <v>25000</v>
      </c>
      <c r="E9" s="100">
        <f>D9*'Start Here'!$B$13</f>
        <v>2075000</v>
      </c>
      <c r="F9" s="101" t="s">
        <v>138</v>
      </c>
      <c r="G9" s="62"/>
      <c r="H9" s="73"/>
    </row>
    <row r="10" spans="1:8" s="2" customFormat="1" ht="22.5" customHeight="1">
      <c r="A10" s="56" t="s">
        <v>140</v>
      </c>
      <c r="B10" s="99">
        <v>0</v>
      </c>
      <c r="C10" s="100">
        <f>B10*'Start Here'!$B$13</f>
        <v>0</v>
      </c>
      <c r="D10" s="99">
        <v>25000</v>
      </c>
      <c r="E10" s="100">
        <f>D10*'Start Here'!$B$13</f>
        <v>2075000</v>
      </c>
      <c r="F10" s="101" t="s">
        <v>141</v>
      </c>
      <c r="G10" s="62"/>
      <c r="H10" s="73"/>
    </row>
    <row r="11" spans="1:8" ht="22.5" customHeight="1">
      <c r="A11" s="41"/>
      <c r="B11" s="80"/>
      <c r="C11" s="80"/>
      <c r="D11" s="80"/>
      <c r="E11" s="80"/>
      <c r="F11" s="42"/>
      <c r="G11" s="42"/>
      <c r="H11" s="43"/>
    </row>
    <row r="12" spans="1:8" ht="22.5" customHeight="1">
      <c r="A12" s="41"/>
      <c r="B12" s="80"/>
      <c r="C12" s="80"/>
      <c r="D12" s="80"/>
      <c r="E12" s="80"/>
      <c r="F12" s="42"/>
      <c r="G12" s="42"/>
      <c r="H12" s="43"/>
    </row>
    <row r="13" spans="1:8" s="2" customFormat="1" ht="22.5" customHeight="1">
      <c r="A13" s="96" t="s">
        <v>142</v>
      </c>
      <c r="B13" s="97" t="s">
        <v>143</v>
      </c>
      <c r="C13" s="97" t="s">
        <v>144</v>
      </c>
      <c r="D13" s="97" t="s">
        <v>145</v>
      </c>
      <c r="E13" s="97" t="s">
        <v>146</v>
      </c>
      <c r="F13" s="97" t="s">
        <v>147</v>
      </c>
      <c r="G13" s="97" t="s">
        <v>148</v>
      </c>
      <c r="H13" s="98" t="s">
        <v>74</v>
      </c>
    </row>
    <row r="14" spans="1:8" s="2" customFormat="1" ht="22.5" customHeight="1">
      <c r="A14" s="56" t="s">
        <v>149</v>
      </c>
      <c r="B14" s="65">
        <f>SUM(B4:B9)</f>
        <v>270960</v>
      </c>
      <c r="C14" s="65">
        <f>B5*(1+'Start Here'!$B$16)+B8+B9</f>
        <v>87858</v>
      </c>
      <c r="D14" s="65">
        <f>B5*(1+'Start Here'!$B$16)^2+B8+B9</f>
        <v>90900.9</v>
      </c>
      <c r="E14" s="65">
        <f>B5*(1+'Start Here'!$B$16)^3+B8+B9+B10</f>
        <v>94095.945000000007</v>
      </c>
      <c r="F14" s="65">
        <f>B5*(1+'Start Here'!$B$16)^4+B8+B9</f>
        <v>97450.742249999996</v>
      </c>
      <c r="G14" s="65">
        <f>SUM(B14:F14)</f>
        <v>641265.58724999998</v>
      </c>
      <c r="H14" s="102" t="s">
        <v>150</v>
      </c>
    </row>
    <row r="15" spans="1:8" s="2" customFormat="1" ht="22.5" customHeight="1">
      <c r="A15" s="56" t="s">
        <v>151</v>
      </c>
      <c r="B15" s="66">
        <f>B14*'Start Here'!$B$13</f>
        <v>22489680</v>
      </c>
      <c r="C15" s="66">
        <f>C14*'Start Here'!$B$13</f>
        <v>7292214</v>
      </c>
      <c r="D15" s="66">
        <f>D14*'Start Here'!$B$13</f>
        <v>7544774.6999999993</v>
      </c>
      <c r="E15" s="66">
        <f>E14*'Start Here'!$B$13</f>
        <v>7809963.4350000005</v>
      </c>
      <c r="F15" s="66">
        <f>F14*'Start Here'!$B$13</f>
        <v>8088411.6067499993</v>
      </c>
      <c r="G15" s="66">
        <f>G14*'Start Here'!$B$13</f>
        <v>53225043.741750002</v>
      </c>
      <c r="H15" s="102" t="s">
        <v>152</v>
      </c>
    </row>
    <row r="16" spans="1:8" s="2" customFormat="1" ht="22.5" customHeight="1">
      <c r="A16" s="56" t="s">
        <v>153</v>
      </c>
      <c r="B16" s="65">
        <f>SUM(D4:D9)</f>
        <v>517400</v>
      </c>
      <c r="C16" s="65">
        <f>D5*(1+'Start Here'!$B$17)+D6+D8+D9</f>
        <v>163696</v>
      </c>
      <c r="D16" s="65">
        <f>D5*(1+'Start Here'!$B$17)^2+D6+D8+D9</f>
        <v>165043.84</v>
      </c>
      <c r="E16" s="65">
        <f>D5*(1+'Start Here'!$B$17)^3+D6+D8+D9+D10</f>
        <v>191445.59359999999</v>
      </c>
      <c r="F16" s="65">
        <f>D5*(1+'Start Here'!$B$17)^4+D6+D8+D9</f>
        <v>167903.41734400002</v>
      </c>
      <c r="G16" s="65">
        <f>SUM(B16:F16)</f>
        <v>1205488.8509440001</v>
      </c>
      <c r="H16" s="102" t="s">
        <v>154</v>
      </c>
    </row>
    <row r="17" spans="1:8" s="2" customFormat="1" ht="22.5" customHeight="1">
      <c r="A17" s="56" t="s">
        <v>155</v>
      </c>
      <c r="B17" s="66">
        <f>B16*'Start Here'!$B$13</f>
        <v>42944200</v>
      </c>
      <c r="C17" s="66">
        <f>C16*'Start Here'!$B$13</f>
        <v>13586768</v>
      </c>
      <c r="D17" s="66">
        <f>D16*'Start Here'!$B$13</f>
        <v>13698638.719999999</v>
      </c>
      <c r="E17" s="66">
        <f>E16*'Start Here'!$B$13</f>
        <v>15889984.2688</v>
      </c>
      <c r="F17" s="66">
        <f>F16*'Start Here'!$B$13</f>
        <v>13935983.639552001</v>
      </c>
      <c r="G17" s="66">
        <f>G16*'Start Here'!$B$13</f>
        <v>100055574.628352</v>
      </c>
      <c r="H17" s="102" t="s">
        <v>152</v>
      </c>
    </row>
    <row r="18" spans="1:8" s="2" customFormat="1" ht="22.5" customHeight="1">
      <c r="A18" s="56" t="s">
        <v>156</v>
      </c>
      <c r="B18" s="65">
        <f t="shared" ref="B18:G18" si="0">B16-B14</f>
        <v>246440</v>
      </c>
      <c r="C18" s="65">
        <f t="shared" si="0"/>
        <v>75838</v>
      </c>
      <c r="D18" s="65">
        <f t="shared" si="0"/>
        <v>74142.94</v>
      </c>
      <c r="E18" s="65">
        <f t="shared" si="0"/>
        <v>97349.648599999986</v>
      </c>
      <c r="F18" s="65">
        <f t="shared" si="0"/>
        <v>70452.67509400002</v>
      </c>
      <c r="G18" s="65">
        <f t="shared" si="0"/>
        <v>564223.26369400008</v>
      </c>
      <c r="H18" s="102" t="s">
        <v>157</v>
      </c>
    </row>
    <row r="19" spans="1:8" s="2" customFormat="1" ht="22.5" customHeight="1">
      <c r="A19" s="103" t="s">
        <v>158</v>
      </c>
      <c r="B19" s="104">
        <f>B18*'Start Here'!$B$13</f>
        <v>20454520</v>
      </c>
      <c r="C19" s="104">
        <f>C18*'Start Here'!$B$13</f>
        <v>6294554</v>
      </c>
      <c r="D19" s="104">
        <f>D18*'Start Here'!$B$13</f>
        <v>6153864.0200000005</v>
      </c>
      <c r="E19" s="104">
        <f>E18*'Start Here'!$B$13</f>
        <v>8080020.8337999992</v>
      </c>
      <c r="F19" s="104">
        <f>F18*'Start Here'!$B$13</f>
        <v>5847572.0328020016</v>
      </c>
      <c r="G19" s="104">
        <f>G18*'Start Here'!$B$13</f>
        <v>46830530.886602007</v>
      </c>
      <c r="H19" s="105" t="s">
        <v>152</v>
      </c>
    </row>
    <row r="20" spans="1:8" ht="22.5" customHeight="1">
      <c r="F20" s="5"/>
      <c r="G20" s="5"/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8"/>
  <sheetViews>
    <sheetView workbookViewId="0">
      <selection activeCell="E7" sqref="E7"/>
    </sheetView>
  </sheetViews>
  <sheetFormatPr defaultRowHeight="14.25"/>
  <cols>
    <col min="1" max="1" width="18" style="1" customWidth="1"/>
    <col min="2" max="2" width="58" style="1" customWidth="1"/>
    <col min="3" max="3" width="16" style="5" customWidth="1"/>
    <col min="4" max="4" width="18" style="1" customWidth="1"/>
    <col min="5" max="5" width="42" style="1" customWidth="1"/>
    <col min="6" max="16384" width="9" style="1"/>
  </cols>
  <sheetData>
    <row r="1" spans="1:5" ht="33.75" customHeight="1">
      <c r="A1" s="77" t="s">
        <v>159</v>
      </c>
      <c r="B1" s="78"/>
      <c r="C1" s="78"/>
      <c r="D1" s="78"/>
      <c r="E1" s="79"/>
    </row>
    <row r="2" spans="1:5">
      <c r="A2" s="41"/>
      <c r="B2" s="42"/>
      <c r="C2" s="80"/>
      <c r="D2" s="42"/>
      <c r="E2" s="43"/>
    </row>
    <row r="3" spans="1:5" s="2" customFormat="1" ht="24" customHeight="1">
      <c r="A3" s="60" t="s">
        <v>160</v>
      </c>
      <c r="B3" s="61" t="s">
        <v>161</v>
      </c>
      <c r="C3" s="61" t="s">
        <v>162</v>
      </c>
      <c r="D3" s="61" t="s">
        <v>163</v>
      </c>
      <c r="E3" s="63" t="s">
        <v>74</v>
      </c>
    </row>
    <row r="4" spans="1:5" s="2" customFormat="1" ht="24" customHeight="1">
      <c r="A4" s="64" t="s">
        <v>164</v>
      </c>
      <c r="B4" s="62" t="s">
        <v>165</v>
      </c>
      <c r="C4" s="106" t="s">
        <v>166</v>
      </c>
      <c r="D4" s="62"/>
      <c r="E4" s="71"/>
    </row>
    <row r="5" spans="1:5" s="2" customFormat="1" ht="24" customHeight="1">
      <c r="A5" s="64" t="s">
        <v>164</v>
      </c>
      <c r="B5" s="62" t="s">
        <v>167</v>
      </c>
      <c r="C5" s="106" t="s">
        <v>166</v>
      </c>
      <c r="D5" s="62"/>
      <c r="E5" s="71"/>
    </row>
    <row r="6" spans="1:5" s="2" customFormat="1" ht="24" customHeight="1">
      <c r="A6" s="64" t="s">
        <v>168</v>
      </c>
      <c r="B6" s="62" t="s">
        <v>169</v>
      </c>
      <c r="C6" s="106" t="s">
        <v>166</v>
      </c>
      <c r="D6" s="62"/>
      <c r="E6" s="71"/>
    </row>
    <row r="7" spans="1:5" s="2" customFormat="1" ht="24" customHeight="1">
      <c r="A7" s="64" t="s">
        <v>170</v>
      </c>
      <c r="B7" s="62" t="s">
        <v>171</v>
      </c>
      <c r="C7" s="106" t="s">
        <v>166</v>
      </c>
      <c r="D7" s="62"/>
      <c r="E7" s="71"/>
    </row>
    <row r="8" spans="1:5" s="2" customFormat="1" ht="24" customHeight="1">
      <c r="A8" s="64" t="s">
        <v>98</v>
      </c>
      <c r="B8" s="62" t="s">
        <v>172</v>
      </c>
      <c r="C8" s="106" t="s">
        <v>166</v>
      </c>
      <c r="D8" s="62"/>
      <c r="E8" s="71"/>
    </row>
    <row r="9" spans="1:5" s="2" customFormat="1" ht="24" customHeight="1">
      <c r="A9" s="64" t="s">
        <v>173</v>
      </c>
      <c r="B9" s="62" t="s">
        <v>174</v>
      </c>
      <c r="C9" s="106" t="s">
        <v>166</v>
      </c>
      <c r="D9" s="62"/>
      <c r="E9" s="71"/>
    </row>
    <row r="10" spans="1:5" s="2" customFormat="1" ht="24" customHeight="1">
      <c r="A10" s="64" t="s">
        <v>173</v>
      </c>
      <c r="B10" s="62" t="s">
        <v>175</v>
      </c>
      <c r="C10" s="106" t="s">
        <v>166</v>
      </c>
      <c r="D10" s="62"/>
      <c r="E10" s="71"/>
    </row>
    <row r="11" spans="1:5" s="2" customFormat="1" ht="24" customHeight="1">
      <c r="A11" s="64" t="s">
        <v>34</v>
      </c>
      <c r="B11" s="62" t="s">
        <v>176</v>
      </c>
      <c r="C11" s="106" t="s">
        <v>166</v>
      </c>
      <c r="D11" s="62"/>
      <c r="E11" s="71"/>
    </row>
    <row r="12" spans="1:5" s="2" customFormat="1" ht="24" customHeight="1">
      <c r="A12" s="64" t="s">
        <v>177</v>
      </c>
      <c r="B12" s="62" t="s">
        <v>178</v>
      </c>
      <c r="C12" s="106" t="s">
        <v>166</v>
      </c>
      <c r="D12" s="62"/>
      <c r="E12" s="71"/>
    </row>
    <row r="13" spans="1:5" s="2" customFormat="1" ht="24" customHeight="1">
      <c r="A13" s="64" t="s">
        <v>179</v>
      </c>
      <c r="B13" s="62" t="s">
        <v>180</v>
      </c>
      <c r="C13" s="106" t="s">
        <v>166</v>
      </c>
      <c r="D13" s="62"/>
      <c r="E13" s="71"/>
    </row>
    <row r="14" spans="1:5" s="2" customFormat="1" ht="24" customHeight="1">
      <c r="A14" s="64" t="s">
        <v>181</v>
      </c>
      <c r="B14" s="62" t="s">
        <v>182</v>
      </c>
      <c r="C14" s="106" t="s">
        <v>166</v>
      </c>
      <c r="D14" s="62"/>
      <c r="E14" s="71"/>
    </row>
    <row r="15" spans="1:5" s="2" customFormat="1" ht="24" customHeight="1">
      <c r="A15" s="64" t="s">
        <v>183</v>
      </c>
      <c r="B15" s="62" t="s">
        <v>184</v>
      </c>
      <c r="C15" s="106" t="s">
        <v>166</v>
      </c>
      <c r="D15" s="62"/>
      <c r="E15" s="71"/>
    </row>
    <row r="16" spans="1:5" s="2" customFormat="1" ht="24" customHeight="1">
      <c r="A16" s="64" t="s">
        <v>185</v>
      </c>
      <c r="B16" s="62" t="s">
        <v>186</v>
      </c>
      <c r="C16" s="106" t="s">
        <v>166</v>
      </c>
      <c r="D16" s="62"/>
      <c r="E16" s="71"/>
    </row>
    <row r="17" spans="1:5" s="2" customFormat="1" ht="24" customHeight="1">
      <c r="A17" s="107" t="s">
        <v>187</v>
      </c>
      <c r="B17" s="108" t="s">
        <v>188</v>
      </c>
      <c r="C17" s="109" t="s">
        <v>166</v>
      </c>
      <c r="D17" s="108"/>
      <c r="E17" s="110"/>
    </row>
    <row r="18" spans="1:5" s="2" customFormat="1" ht="24" customHeight="1">
      <c r="C18" s="4"/>
    </row>
  </sheetData>
  <mergeCells count="1">
    <mergeCell ref="A1:E1"/>
  </mergeCells>
  <dataValidations count="1">
    <dataValidation type="list" sqref="C4:C17" xr:uid="{00000000-0002-0000-0400-000000000000}">
      <formula1>"Not Checked,Confirmed,Risk,N/A"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workbookViewId="0">
      <selection activeCell="B13" sqref="B13"/>
    </sheetView>
  </sheetViews>
  <sheetFormatPr defaultRowHeight="14.25"/>
  <cols>
    <col min="1" max="1" width="46.875" style="1" customWidth="1"/>
    <col min="2" max="2" width="87.125" style="1" customWidth="1"/>
    <col min="3" max="3" width="36" style="1" customWidth="1"/>
    <col min="4" max="4" width="16" style="5" customWidth="1"/>
    <col min="5" max="16384" width="9" style="1"/>
  </cols>
  <sheetData>
    <row r="1" spans="1:4" ht="30" customHeight="1">
      <c r="A1" s="77" t="s">
        <v>189</v>
      </c>
      <c r="B1" s="78"/>
      <c r="C1" s="78"/>
      <c r="D1" s="79"/>
    </row>
    <row r="2" spans="1:4">
      <c r="A2" s="41"/>
      <c r="B2" s="42"/>
      <c r="C2" s="42"/>
      <c r="D2" s="111"/>
    </row>
    <row r="3" spans="1:4" s="2" customFormat="1" ht="23.25" customHeight="1">
      <c r="A3" s="96" t="s">
        <v>190</v>
      </c>
      <c r="B3" s="97" t="s">
        <v>191</v>
      </c>
      <c r="C3" s="97" t="s">
        <v>192</v>
      </c>
      <c r="D3" s="98" t="s">
        <v>193</v>
      </c>
    </row>
    <row r="4" spans="1:4" s="2" customFormat="1" ht="23.25" customHeight="1">
      <c r="A4" s="56" t="s">
        <v>194</v>
      </c>
      <c r="B4" s="101" t="s">
        <v>195</v>
      </c>
      <c r="C4" s="101" t="s">
        <v>196</v>
      </c>
      <c r="D4" s="112" t="s">
        <v>37</v>
      </c>
    </row>
    <row r="5" spans="1:4" s="2" customFormat="1" ht="23.25" customHeight="1">
      <c r="A5" s="56" t="s">
        <v>197</v>
      </c>
      <c r="B5" s="101" t="s">
        <v>198</v>
      </c>
      <c r="C5" s="101" t="s">
        <v>199</v>
      </c>
      <c r="D5" s="112" t="s">
        <v>37</v>
      </c>
    </row>
    <row r="6" spans="1:4" s="2" customFormat="1" ht="23.25" customHeight="1">
      <c r="A6" s="56" t="s">
        <v>200</v>
      </c>
      <c r="B6" s="101" t="s">
        <v>201</v>
      </c>
      <c r="C6" s="101" t="s">
        <v>202</v>
      </c>
      <c r="D6" s="112" t="s">
        <v>37</v>
      </c>
    </row>
    <row r="7" spans="1:4" s="2" customFormat="1" ht="23.25" customHeight="1">
      <c r="A7" s="56" t="s">
        <v>203</v>
      </c>
      <c r="B7" s="101" t="s">
        <v>204</v>
      </c>
      <c r="C7" s="101" t="s">
        <v>205</v>
      </c>
      <c r="D7" s="112" t="s">
        <v>37</v>
      </c>
    </row>
    <row r="8" spans="1:4" s="2" customFormat="1" ht="23.25" customHeight="1">
      <c r="A8" s="103" t="s">
        <v>206</v>
      </c>
      <c r="B8" s="113" t="s">
        <v>207</v>
      </c>
      <c r="C8" s="113" t="s">
        <v>208</v>
      </c>
      <c r="D8" s="114" t="s">
        <v>37</v>
      </c>
    </row>
    <row r="9" spans="1:4" ht="21" customHeight="1"/>
    <row r="10" spans="1:4" ht="21" customHeight="1"/>
    <row r="11" spans="1:4" ht="21" customHeight="1"/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Start Here</vt:lpstr>
      <vt:lpstr>Dashboard</vt:lpstr>
      <vt:lpstr>Cost Planner</vt:lpstr>
      <vt:lpstr>Cloud vs On-Prem</vt:lpstr>
      <vt:lpstr>Vendor Checklist</vt:lpstr>
      <vt:lpstr>Sources &amp; 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Raghunath Sabat</cp:lastModifiedBy>
  <dcterms:modified xsi:type="dcterms:W3CDTF">2026-05-20T06:09:49Z</dcterms:modified>
</cp:coreProperties>
</file>